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ulletin_KAIKKI\Bulletin\in consideration\Kärenlampi_etal\Final\"/>
    </mc:Choice>
  </mc:AlternateContent>
  <bookViews>
    <workbookView xWindow="1515" yWindow="75" windowWidth="15480" windowHeight="10125"/>
  </bookViews>
  <sheets>
    <sheet name="Appendix 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8" i="2" l="1"/>
  <c r="U59" i="2" l="1"/>
  <c r="T59" i="2"/>
  <c r="T100" i="2"/>
  <c r="L87" i="2" l="1"/>
  <c r="T70" i="2"/>
  <c r="T69" i="2"/>
  <c r="T68" i="2"/>
  <c r="T109" i="2"/>
  <c r="R109" i="2"/>
  <c r="Q109" i="2"/>
  <c r="P109" i="2"/>
  <c r="D99" i="2" l="1"/>
  <c r="D102" i="2"/>
  <c r="D103" i="2"/>
  <c r="D104" i="2"/>
  <c r="D105" i="2"/>
  <c r="CF91" i="2"/>
  <c r="CF92" i="2"/>
  <c r="CF93" i="2"/>
  <c r="CF94" i="2"/>
  <c r="CF95" i="2"/>
  <c r="CF96" i="2"/>
  <c r="CF97" i="2"/>
  <c r="CF98" i="2"/>
  <c r="CF99" i="2"/>
  <c r="CF90" i="2"/>
  <c r="BX91" i="2"/>
  <c r="BX92" i="2"/>
  <c r="BX93" i="2"/>
  <c r="BX94" i="2"/>
  <c r="BX95" i="2"/>
  <c r="BX96" i="2"/>
  <c r="BX97" i="2"/>
  <c r="BX98" i="2"/>
  <c r="BX99" i="2"/>
  <c r="BX90" i="2"/>
  <c r="BP91" i="2"/>
  <c r="BP92" i="2"/>
  <c r="BP93" i="2"/>
  <c r="BP94" i="2"/>
  <c r="BP95" i="2"/>
  <c r="BP96" i="2"/>
  <c r="BP97" i="2"/>
  <c r="BP98" i="2"/>
  <c r="BP99" i="2"/>
  <c r="BP90" i="2"/>
  <c r="BH91" i="2"/>
  <c r="BH92" i="2"/>
  <c r="BH93" i="2"/>
  <c r="BH94" i="2"/>
  <c r="BH95" i="2"/>
  <c r="BH96" i="2"/>
  <c r="BH97" i="2"/>
  <c r="BH98" i="2"/>
  <c r="BH99" i="2"/>
  <c r="BH90" i="2"/>
  <c r="AZ91" i="2"/>
  <c r="AZ92" i="2"/>
  <c r="AZ93" i="2"/>
  <c r="AZ94" i="2"/>
  <c r="AZ95" i="2"/>
  <c r="AZ96" i="2"/>
  <c r="AZ97" i="2"/>
  <c r="AZ98" i="2"/>
  <c r="AZ99" i="2"/>
  <c r="AZ90" i="2"/>
  <c r="AS91" i="2"/>
  <c r="AS92" i="2"/>
  <c r="AS93" i="2"/>
  <c r="AS94" i="2"/>
  <c r="AS95" i="2"/>
  <c r="AS96" i="2"/>
  <c r="AS97" i="2"/>
  <c r="AS98" i="2"/>
  <c r="AS99" i="2"/>
  <c r="AS90" i="2"/>
  <c r="AL91" i="2"/>
  <c r="AL92" i="2"/>
  <c r="AL93" i="2"/>
  <c r="AL94" i="2"/>
  <c r="AL95" i="2"/>
  <c r="AL96" i="2"/>
  <c r="AL97" i="2"/>
  <c r="AL98" i="2"/>
  <c r="AL99" i="2"/>
  <c r="AL90" i="2"/>
  <c r="AE91" i="2"/>
  <c r="AE92" i="2"/>
  <c r="AE93" i="2"/>
  <c r="AE94" i="2"/>
  <c r="AE95" i="2"/>
  <c r="AE96" i="2"/>
  <c r="AE97" i="2"/>
  <c r="AE98" i="2"/>
  <c r="AE99" i="2"/>
  <c r="AE90" i="2"/>
  <c r="V91" i="2"/>
  <c r="V92" i="2"/>
  <c r="V94" i="2"/>
  <c r="V95" i="2"/>
  <c r="V98" i="2"/>
  <c r="V99" i="2"/>
  <c r="D100" i="2" l="1"/>
  <c r="D101" i="2"/>
  <c r="V90" i="2"/>
  <c r="C116" i="2"/>
  <c r="C109" i="2"/>
  <c r="E109" i="2"/>
  <c r="E116" i="2" s="1"/>
  <c r="B87" i="2"/>
  <c r="R87" i="2"/>
  <c r="AB87" i="2"/>
  <c r="AH87" i="2"/>
  <c r="AO87" i="2"/>
  <c r="AV87" i="2"/>
  <c r="BD87" i="2"/>
  <c r="BK87" i="2"/>
  <c r="BS87" i="2"/>
  <c r="CA87" i="2"/>
  <c r="B88" i="2"/>
  <c r="B89" i="2"/>
  <c r="B102" i="2" s="1"/>
  <c r="B90" i="2"/>
  <c r="W90" i="2"/>
  <c r="B91" i="2"/>
  <c r="W91" i="2"/>
  <c r="B92" i="2"/>
  <c r="W92" i="2"/>
  <c r="B93" i="2"/>
  <c r="B103" i="2" s="1"/>
  <c r="V93" i="2"/>
  <c r="W93" i="2" s="1"/>
  <c r="B94" i="2"/>
  <c r="W94" i="2"/>
  <c r="B95" i="2"/>
  <c r="B105" i="2" s="1"/>
  <c r="W95" i="2"/>
  <c r="B96" i="2"/>
  <c r="V96" i="2"/>
  <c r="W98" i="2"/>
  <c r="W99" i="2"/>
  <c r="Q100" i="2"/>
  <c r="C108" i="2" s="1"/>
  <c r="R100" i="2"/>
  <c r="S100" i="2"/>
  <c r="AB100" i="2"/>
  <c r="AC100" i="2"/>
  <c r="AD100" i="2"/>
  <c r="AE100" i="2"/>
  <c r="AH100" i="2"/>
  <c r="AI100" i="2"/>
  <c r="AJ100" i="2"/>
  <c r="AK100" i="2"/>
  <c r="AL100" i="2"/>
  <c r="AO100" i="2"/>
  <c r="AP100" i="2"/>
  <c r="AQ100" i="2"/>
  <c r="AR100" i="2"/>
  <c r="AS100" i="2"/>
  <c r="AV100" i="2"/>
  <c r="AW100" i="2"/>
  <c r="AX100" i="2"/>
  <c r="AY100" i="2"/>
  <c r="AZ100" i="2"/>
  <c r="BD100" i="2"/>
  <c r="I109" i="2" s="1"/>
  <c r="BE100" i="2"/>
  <c r="BF100" i="2"/>
  <c r="BG100" i="2"/>
  <c r="BH100" i="2"/>
  <c r="BK100" i="2"/>
  <c r="BL100" i="2"/>
  <c r="BM100" i="2"/>
  <c r="BN100" i="2"/>
  <c r="BO100" i="2"/>
  <c r="BP100" i="2"/>
  <c r="BS100" i="2"/>
  <c r="BT100" i="2"/>
  <c r="BU100" i="2"/>
  <c r="BV100" i="2"/>
  <c r="BW100" i="2"/>
  <c r="BX100" i="2"/>
  <c r="CA100" i="2"/>
  <c r="CB100" i="2"/>
  <c r="CC100" i="2"/>
  <c r="CD100" i="2"/>
  <c r="CE100" i="2"/>
  <c r="CF100" i="2"/>
  <c r="B99" i="2" l="1"/>
  <c r="B104" i="2"/>
  <c r="B101" i="2" s="1"/>
  <c r="V97" i="2"/>
  <c r="W97" i="2" s="1"/>
  <c r="B100" i="2"/>
  <c r="U100" i="2"/>
  <c r="W96" i="2"/>
  <c r="V100" i="2"/>
  <c r="C115" i="2"/>
  <c r="C110" i="2"/>
  <c r="C112" i="2" s="1"/>
  <c r="B97" i="2"/>
  <c r="C21" i="2"/>
  <c r="D21" i="2"/>
  <c r="E21" i="2"/>
  <c r="F21" i="2"/>
  <c r="G21" i="2"/>
  <c r="H21" i="2"/>
  <c r="I21" i="2"/>
  <c r="J21" i="2"/>
  <c r="W100" i="2" l="1"/>
  <c r="X90" i="2" s="1"/>
  <c r="X96" i="2"/>
  <c r="X97" i="2"/>
  <c r="X98" i="2"/>
  <c r="X93" i="2"/>
  <c r="X94" i="2"/>
  <c r="X95" i="2"/>
  <c r="X91" i="2"/>
  <c r="X99" i="2"/>
  <c r="X92" i="2"/>
  <c r="C119" i="2"/>
  <c r="C117" i="2"/>
  <c r="J23" i="2"/>
  <c r="I23" i="2"/>
  <c r="H23" i="2"/>
  <c r="G23" i="2"/>
  <c r="F23" i="2"/>
  <c r="E23" i="2"/>
  <c r="D23" i="2"/>
  <c r="C23" i="2"/>
  <c r="D58" i="2"/>
  <c r="O165" i="2" l="1"/>
  <c r="N165" i="2"/>
  <c r="M165" i="2"/>
  <c r="L165" i="2"/>
  <c r="K165" i="2"/>
  <c r="J165" i="2"/>
  <c r="I165" i="2"/>
  <c r="H165" i="2"/>
  <c r="D160" i="2"/>
  <c r="D159" i="2"/>
  <c r="D158" i="2"/>
  <c r="D157" i="2"/>
  <c r="O155" i="2"/>
  <c r="N155" i="2"/>
  <c r="M155" i="2"/>
  <c r="L155" i="2"/>
  <c r="K155" i="2"/>
  <c r="J155" i="2"/>
  <c r="I155" i="2"/>
  <c r="H155" i="2"/>
  <c r="E155" i="2"/>
  <c r="E170" i="2" s="1"/>
  <c r="G170" i="2" s="1"/>
  <c r="E75" i="2"/>
  <c r="E68" i="2"/>
  <c r="C68" i="2"/>
  <c r="C75" i="2" s="1"/>
  <c r="CE59" i="2"/>
  <c r="CD59" i="2"/>
  <c r="CC59" i="2"/>
  <c r="CB59" i="2"/>
  <c r="CA59" i="2"/>
  <c r="BW59" i="2"/>
  <c r="BV59" i="2"/>
  <c r="BU59" i="2"/>
  <c r="BT59" i="2"/>
  <c r="BS59" i="2"/>
  <c r="BO59" i="2"/>
  <c r="BN59" i="2"/>
  <c r="BM59" i="2"/>
  <c r="BL59" i="2"/>
  <c r="BK59" i="2"/>
  <c r="BG59" i="2"/>
  <c r="BF59" i="2"/>
  <c r="BE59" i="2"/>
  <c r="BD59" i="2"/>
  <c r="I68" i="2" s="1"/>
  <c r="AY59" i="2"/>
  <c r="AX59" i="2"/>
  <c r="AW59" i="2"/>
  <c r="AV59" i="2"/>
  <c r="AR59" i="2"/>
  <c r="AQ59" i="2"/>
  <c r="AP59" i="2"/>
  <c r="AO59" i="2"/>
  <c r="AK59" i="2"/>
  <c r="AJ59" i="2"/>
  <c r="AI59" i="2"/>
  <c r="AH59" i="2"/>
  <c r="AD59" i="2"/>
  <c r="AC59" i="2"/>
  <c r="AB59" i="2"/>
  <c r="S59" i="2"/>
  <c r="R59" i="2"/>
  <c r="Q59" i="2"/>
  <c r="B56" i="2" s="1"/>
  <c r="CF58" i="2"/>
  <c r="BX58" i="2"/>
  <c r="BP58" i="2"/>
  <c r="BH58" i="2"/>
  <c r="AZ58" i="2"/>
  <c r="AS58" i="2"/>
  <c r="AL58" i="2"/>
  <c r="AE58" i="2"/>
  <c r="V58" i="2"/>
  <c r="W58" i="2" s="1"/>
  <c r="CF57" i="2"/>
  <c r="BX57" i="2"/>
  <c r="BP57" i="2"/>
  <c r="BH57" i="2"/>
  <c r="AZ57" i="2"/>
  <c r="AS57" i="2"/>
  <c r="AL57" i="2"/>
  <c r="AE57" i="2"/>
  <c r="V57" i="2"/>
  <c r="W57" i="2" s="1"/>
  <c r="CF56" i="2"/>
  <c r="BX56" i="2"/>
  <c r="BP56" i="2"/>
  <c r="BH56" i="2"/>
  <c r="AZ56" i="2"/>
  <c r="AS56" i="2"/>
  <c r="AL56" i="2"/>
  <c r="AE56" i="2"/>
  <c r="V56" i="2"/>
  <c r="W56" i="2" s="1"/>
  <c r="CF55" i="2"/>
  <c r="BX55" i="2"/>
  <c r="BP55" i="2"/>
  <c r="BH55" i="2"/>
  <c r="AZ55" i="2"/>
  <c r="AS55" i="2"/>
  <c r="AL55" i="2"/>
  <c r="AE55" i="2"/>
  <c r="V55" i="2"/>
  <c r="W55" i="2" s="1"/>
  <c r="B55" i="2"/>
  <c r="CF54" i="2"/>
  <c r="BX54" i="2"/>
  <c r="BP54" i="2"/>
  <c r="BH54" i="2"/>
  <c r="AZ54" i="2"/>
  <c r="AS54" i="2"/>
  <c r="AL54" i="2"/>
  <c r="AE54" i="2"/>
  <c r="V54" i="2"/>
  <c r="W54" i="2" s="1"/>
  <c r="B54" i="2"/>
  <c r="B64" i="2" s="1"/>
  <c r="CF53" i="2"/>
  <c r="BX53" i="2"/>
  <c r="BP53" i="2"/>
  <c r="BH53" i="2"/>
  <c r="AZ53" i="2"/>
  <c r="AS53" i="2"/>
  <c r="AL53" i="2"/>
  <c r="AE53" i="2"/>
  <c r="V53" i="2"/>
  <c r="W53" i="2" s="1"/>
  <c r="B53" i="2"/>
  <c r="B63" i="2" s="1"/>
  <c r="CF52" i="2"/>
  <c r="BX52" i="2"/>
  <c r="BP52" i="2"/>
  <c r="BH52" i="2"/>
  <c r="AZ52" i="2"/>
  <c r="AS52" i="2"/>
  <c r="AL52" i="2"/>
  <c r="AE52" i="2"/>
  <c r="V52" i="2"/>
  <c r="W52" i="2" s="1"/>
  <c r="B52" i="2"/>
  <c r="CF51" i="2"/>
  <c r="BX51" i="2"/>
  <c r="BP51" i="2"/>
  <c r="BH51" i="2"/>
  <c r="AZ51" i="2"/>
  <c r="AS51" i="2"/>
  <c r="AL51" i="2"/>
  <c r="AE51" i="2"/>
  <c r="V51" i="2"/>
  <c r="W51" i="2" s="1"/>
  <c r="B51" i="2"/>
  <c r="CF50" i="2"/>
  <c r="BX50" i="2"/>
  <c r="BP50" i="2"/>
  <c r="BH50" i="2"/>
  <c r="AZ50" i="2"/>
  <c r="AS50" i="2"/>
  <c r="AL50" i="2"/>
  <c r="AE50" i="2"/>
  <c r="V50" i="2"/>
  <c r="W50" i="2" s="1"/>
  <c r="B50" i="2"/>
  <c r="CF49" i="2"/>
  <c r="BX49" i="2"/>
  <c r="BP49" i="2"/>
  <c r="BH49" i="2"/>
  <c r="AZ49" i="2"/>
  <c r="AS49" i="2"/>
  <c r="AL49" i="2"/>
  <c r="AE49" i="2"/>
  <c r="V49" i="2"/>
  <c r="W49" i="2" s="1"/>
  <c r="B49" i="2"/>
  <c r="B61" i="2" s="1"/>
  <c r="B48" i="2"/>
  <c r="B47" i="2"/>
  <c r="CA46" i="2"/>
  <c r="BS46" i="2"/>
  <c r="BK46" i="2"/>
  <c r="BD46" i="2"/>
  <c r="AV46" i="2"/>
  <c r="AO46" i="2"/>
  <c r="AH46" i="2"/>
  <c r="AB46" i="2"/>
  <c r="R46" i="2"/>
  <c r="B46" i="2"/>
  <c r="J29" i="2"/>
  <c r="I29" i="2"/>
  <c r="H29" i="2"/>
  <c r="G29" i="2"/>
  <c r="F29" i="2"/>
  <c r="E29" i="2"/>
  <c r="D29" i="2"/>
  <c r="C29" i="2"/>
  <c r="J28" i="2"/>
  <c r="I28" i="2"/>
  <c r="H28" i="2"/>
  <c r="G28" i="2"/>
  <c r="F28" i="2"/>
  <c r="E28" i="2"/>
  <c r="D28" i="2"/>
  <c r="C28" i="2"/>
  <c r="J27" i="2"/>
  <c r="I27" i="2"/>
  <c r="H27" i="2"/>
  <c r="G27" i="2"/>
  <c r="F27" i="2"/>
  <c r="F25" i="2" s="1"/>
  <c r="E27" i="2"/>
  <c r="D27" i="2"/>
  <c r="C27" i="2"/>
  <c r="J26" i="2"/>
  <c r="J25" i="2" s="1"/>
  <c r="I26" i="2"/>
  <c r="I24" i="2" s="1"/>
  <c r="H26" i="2"/>
  <c r="G26" i="2"/>
  <c r="F26" i="2"/>
  <c r="E26" i="2"/>
  <c r="D26" i="2"/>
  <c r="C26" i="2"/>
  <c r="C25" i="2" s="1"/>
  <c r="E25" i="2"/>
  <c r="D25" i="2"/>
  <c r="BJ24" i="2"/>
  <c r="BI24" i="2"/>
  <c r="BD24" i="2"/>
  <c r="BC24" i="2"/>
  <c r="AX24" i="2"/>
  <c r="AW24" i="2"/>
  <c r="AR24" i="2"/>
  <c r="AQ24" i="2"/>
  <c r="AK24" i="2"/>
  <c r="AJ24" i="2"/>
  <c r="AE24" i="2"/>
  <c r="AD24" i="2"/>
  <c r="Y24" i="2"/>
  <c r="X24" i="2"/>
  <c r="S24" i="2"/>
  <c r="R24" i="2"/>
  <c r="Q24" i="2"/>
  <c r="F24" i="2"/>
  <c r="E24" i="2"/>
  <c r="D24" i="2"/>
  <c r="C24" i="2"/>
  <c r="BL23" i="2"/>
  <c r="BF23" i="2"/>
  <c r="AZ23" i="2"/>
  <c r="AT23" i="2"/>
  <c r="AM23" i="2"/>
  <c r="AG23" i="2"/>
  <c r="AA23" i="2"/>
  <c r="U23" i="2"/>
  <c r="V23" i="2" s="1"/>
  <c r="BL22" i="2"/>
  <c r="BF22" i="2"/>
  <c r="AZ22" i="2"/>
  <c r="AT22" i="2"/>
  <c r="AM22" i="2"/>
  <c r="AG22" i="2"/>
  <c r="AA22" i="2"/>
  <c r="U22" i="2"/>
  <c r="V22" i="2" s="1"/>
  <c r="BL21" i="2"/>
  <c r="BF21" i="2"/>
  <c r="AZ21" i="2"/>
  <c r="AT21" i="2"/>
  <c r="AM21" i="2"/>
  <c r="AG21" i="2"/>
  <c r="AA21" i="2"/>
  <c r="U21" i="2"/>
  <c r="V21" i="2" s="1"/>
  <c r="BL20" i="2"/>
  <c r="BF20" i="2"/>
  <c r="AZ20" i="2"/>
  <c r="AT20" i="2"/>
  <c r="AM20" i="2"/>
  <c r="AG20" i="2"/>
  <c r="AA20" i="2"/>
  <c r="U20" i="2"/>
  <c r="V20" i="2" s="1"/>
  <c r="B20" i="2"/>
  <c r="BL19" i="2"/>
  <c r="BF19" i="2"/>
  <c r="AZ19" i="2"/>
  <c r="AT19" i="2"/>
  <c r="AM19" i="2"/>
  <c r="AG19" i="2"/>
  <c r="AA19" i="2"/>
  <c r="U19" i="2"/>
  <c r="V19" i="2" s="1"/>
  <c r="B19" i="2"/>
  <c r="B29" i="2" s="1"/>
  <c r="BL18" i="2"/>
  <c r="BF18" i="2"/>
  <c r="AZ18" i="2"/>
  <c r="AT18" i="2"/>
  <c r="AM18" i="2"/>
  <c r="AG18" i="2"/>
  <c r="AA18" i="2"/>
  <c r="U18" i="2"/>
  <c r="V18" i="2" s="1"/>
  <c r="B18" i="2"/>
  <c r="BL17" i="2"/>
  <c r="BF17" i="2"/>
  <c r="AZ17" i="2"/>
  <c r="AT17" i="2"/>
  <c r="AM17" i="2"/>
  <c r="AG17" i="2"/>
  <c r="AA17" i="2"/>
  <c r="U17" i="2"/>
  <c r="V17" i="2" s="1"/>
  <c r="B17" i="2"/>
  <c r="B27" i="2" s="1"/>
  <c r="BL16" i="2"/>
  <c r="BF16" i="2"/>
  <c r="AZ16" i="2"/>
  <c r="AT16" i="2"/>
  <c r="AM16" i="2"/>
  <c r="AG16" i="2"/>
  <c r="AA16" i="2"/>
  <c r="U16" i="2"/>
  <c r="V16" i="2" s="1"/>
  <c r="B16" i="2"/>
  <c r="BL15" i="2"/>
  <c r="BF15" i="2"/>
  <c r="AZ15" i="2"/>
  <c r="AT15" i="2"/>
  <c r="AM15" i="2"/>
  <c r="AG15" i="2"/>
  <c r="AA15" i="2"/>
  <c r="V15" i="2"/>
  <c r="U15" i="2"/>
  <c r="B15" i="2"/>
  <c r="BL14" i="2"/>
  <c r="BF14" i="2"/>
  <c r="AZ14" i="2"/>
  <c r="AT14" i="2"/>
  <c r="AM14" i="2"/>
  <c r="AG14" i="2"/>
  <c r="AA14" i="2"/>
  <c r="U14" i="2"/>
  <c r="B14" i="2"/>
  <c r="B13" i="2"/>
  <c r="B26" i="2" s="1"/>
  <c r="B12" i="2"/>
  <c r="BI11" i="2"/>
  <c r="J32" i="2" s="1"/>
  <c r="BC11" i="2"/>
  <c r="I32" i="2" s="1"/>
  <c r="AW11" i="2"/>
  <c r="H32" i="2" s="1"/>
  <c r="AQ11" i="2"/>
  <c r="G32" i="2" s="1"/>
  <c r="AJ11" i="2"/>
  <c r="F32" i="2" s="1"/>
  <c r="AD11" i="2"/>
  <c r="E32" i="2" s="1"/>
  <c r="X11" i="2"/>
  <c r="D32" i="2" s="1"/>
  <c r="R11" i="2"/>
  <c r="C32" i="2" s="1"/>
  <c r="C36" i="2" s="1"/>
  <c r="B11" i="2"/>
  <c r="G24" i="2" l="1"/>
  <c r="C69" i="2"/>
  <c r="U24" i="2"/>
  <c r="BP59" i="2"/>
  <c r="H25" i="2"/>
  <c r="E167" i="2"/>
  <c r="G167" i="2" s="1"/>
  <c r="H167" i="2" s="1"/>
  <c r="B21" i="2"/>
  <c r="AT24" i="2"/>
  <c r="AZ24" i="2"/>
  <c r="B28" i="2"/>
  <c r="B24" i="2" s="1"/>
  <c r="B23" i="2"/>
  <c r="AS59" i="2"/>
  <c r="CF59" i="2"/>
  <c r="AM24" i="2"/>
  <c r="BF24" i="2"/>
  <c r="AZ59" i="2"/>
  <c r="AA97" i="2"/>
  <c r="AA95" i="2"/>
  <c r="AA92" i="2"/>
  <c r="AA99" i="2"/>
  <c r="AA93" i="2"/>
  <c r="AA94" i="2"/>
  <c r="AA91" i="2"/>
  <c r="AA98" i="2"/>
  <c r="AA96" i="2"/>
  <c r="AA24" i="2"/>
  <c r="BX59" i="2"/>
  <c r="B62" i="2"/>
  <c r="B58" i="2"/>
  <c r="O170" i="2"/>
  <c r="N170" i="2"/>
  <c r="M170" i="2"/>
  <c r="L170" i="2"/>
  <c r="K170" i="2"/>
  <c r="J170" i="2"/>
  <c r="I170" i="2"/>
  <c r="V14" i="2"/>
  <c r="B25" i="2"/>
  <c r="AE59" i="2"/>
  <c r="BH59" i="2"/>
  <c r="AL59" i="2"/>
  <c r="M167" i="2"/>
  <c r="L167" i="2"/>
  <c r="K167" i="2"/>
  <c r="J167" i="2"/>
  <c r="I167" i="2"/>
  <c r="C76" i="2"/>
  <c r="N167" i="2"/>
  <c r="D36" i="2"/>
  <c r="BL24" i="2"/>
  <c r="J24" i="2"/>
  <c r="G25" i="2"/>
  <c r="V59" i="2"/>
  <c r="AG24" i="2"/>
  <c r="I25" i="2"/>
  <c r="H24" i="2"/>
  <c r="W59" i="2"/>
  <c r="X56" i="2" s="1"/>
  <c r="AA56" i="2" s="1"/>
  <c r="X54" i="2"/>
  <c r="AA54" i="2" s="1"/>
  <c r="X55" i="2"/>
  <c r="AA55" i="2" s="1"/>
  <c r="C67" i="2"/>
  <c r="B59" i="2"/>
  <c r="B60" i="2"/>
  <c r="H170" i="2"/>
  <c r="E168" i="2"/>
  <c r="G168" i="2" s="1"/>
  <c r="E169" i="2"/>
  <c r="G169" i="2" s="1"/>
  <c r="X58" i="2" l="1"/>
  <c r="AA58" i="2" s="1"/>
  <c r="O167" i="2"/>
  <c r="X49" i="2"/>
  <c r="C90" i="2"/>
  <c r="AF93" i="2"/>
  <c r="C92" i="2"/>
  <c r="AF95" i="2"/>
  <c r="C94" i="2"/>
  <c r="AF97" i="2"/>
  <c r="C95" i="2"/>
  <c r="C105" i="2" s="1"/>
  <c r="AF98" i="2"/>
  <c r="C88" i="2"/>
  <c r="AF91" i="2"/>
  <c r="C96" i="2"/>
  <c r="AF99" i="2"/>
  <c r="AF92" i="2"/>
  <c r="C89" i="2"/>
  <c r="C102" i="2" s="1"/>
  <c r="C93" i="2"/>
  <c r="C103" i="2" s="1"/>
  <c r="AF96" i="2"/>
  <c r="AA90" i="2"/>
  <c r="C87" i="2" s="1"/>
  <c r="X100" i="2"/>
  <c r="C91" i="2"/>
  <c r="AF94" i="2"/>
  <c r="AF56" i="2"/>
  <c r="C53" i="2"/>
  <c r="C51" i="2"/>
  <c r="AF54" i="2"/>
  <c r="I169" i="2"/>
  <c r="H169" i="2"/>
  <c r="O169" i="2"/>
  <c r="N169" i="2"/>
  <c r="M169" i="2"/>
  <c r="L169" i="2"/>
  <c r="K169" i="2"/>
  <c r="J169" i="2"/>
  <c r="V24" i="2"/>
  <c r="K168" i="2"/>
  <c r="J168" i="2"/>
  <c r="I168" i="2"/>
  <c r="H168" i="2"/>
  <c r="O168" i="2"/>
  <c r="N168" i="2"/>
  <c r="M168" i="2"/>
  <c r="L168" i="2"/>
  <c r="X53" i="2"/>
  <c r="AA53" i="2" s="1"/>
  <c r="X50" i="2"/>
  <c r="AA50" i="2" s="1"/>
  <c r="X52" i="2"/>
  <c r="AA52" i="2" s="1"/>
  <c r="AF55" i="2"/>
  <c r="C52" i="2"/>
  <c r="E36" i="2"/>
  <c r="AF58" i="2"/>
  <c r="C55" i="2"/>
  <c r="X51" i="2"/>
  <c r="AA51" i="2" s="1"/>
  <c r="C74" i="2"/>
  <c r="C71" i="2"/>
  <c r="X57" i="2"/>
  <c r="AA57" i="2" s="1"/>
  <c r="C99" i="2" l="1"/>
  <c r="C104" i="2"/>
  <c r="C100" i="2" s="1"/>
  <c r="W20" i="2"/>
  <c r="W18" i="2"/>
  <c r="W23" i="2"/>
  <c r="W17" i="2"/>
  <c r="W15" i="2"/>
  <c r="W16" i="2"/>
  <c r="W19" i="2"/>
  <c r="W21" i="2"/>
  <c r="W22" i="2"/>
  <c r="AF90" i="2"/>
  <c r="AA100" i="2"/>
  <c r="W14" i="2"/>
  <c r="X59" i="2"/>
  <c r="AA49" i="2"/>
  <c r="F36" i="2"/>
  <c r="AF53" i="2"/>
  <c r="C50" i="2"/>
  <c r="C54" i="2"/>
  <c r="C58" i="2" s="1"/>
  <c r="AF57" i="2"/>
  <c r="Q68" i="2"/>
  <c r="D128" i="2" s="1"/>
  <c r="R68" i="2"/>
  <c r="E128" i="2" s="1"/>
  <c r="C78" i="2"/>
  <c r="P68" i="2"/>
  <c r="C128" i="2" s="1"/>
  <c r="AF52" i="2"/>
  <c r="C49" i="2"/>
  <c r="C61" i="2" s="1"/>
  <c r="C62" i="2"/>
  <c r="C63" i="2"/>
  <c r="AF51" i="2"/>
  <c r="C48" i="2"/>
  <c r="AF50" i="2"/>
  <c r="C47" i="2"/>
  <c r="C101" i="2" l="1"/>
  <c r="AF100" i="2"/>
  <c r="E108" i="2"/>
  <c r="C97" i="2"/>
  <c r="G36" i="2"/>
  <c r="C64" i="2"/>
  <c r="C60" i="2" s="1"/>
  <c r="AA59" i="2"/>
  <c r="C46" i="2"/>
  <c r="AF49" i="2"/>
  <c r="D139" i="2"/>
  <c r="F158" i="2" s="1"/>
  <c r="G128" i="2"/>
  <c r="D138" i="2"/>
  <c r="F157" i="2" s="1"/>
  <c r="D141" i="2"/>
  <c r="F160" i="2" s="1"/>
  <c r="D140" i="2"/>
  <c r="F159" i="2" s="1"/>
  <c r="C59" i="2"/>
  <c r="AG98" i="2" l="1"/>
  <c r="AG97" i="2"/>
  <c r="AG91" i="2"/>
  <c r="AG99" i="2"/>
  <c r="AG95" i="2"/>
  <c r="AG92" i="2"/>
  <c r="AG96" i="2"/>
  <c r="AG94" i="2"/>
  <c r="AG93" i="2"/>
  <c r="AG90" i="2"/>
  <c r="E87" i="2" s="1"/>
  <c r="E112" i="2"/>
  <c r="E115" i="2"/>
  <c r="C56" i="2"/>
  <c r="E67" i="2"/>
  <c r="H36" i="2"/>
  <c r="AF59" i="2"/>
  <c r="AM90" i="2" l="1"/>
  <c r="AM94" i="2"/>
  <c r="E91" i="2"/>
  <c r="AM92" i="2"/>
  <c r="E89" i="2"/>
  <c r="E102" i="2" s="1"/>
  <c r="AM91" i="2"/>
  <c r="E88" i="2"/>
  <c r="E93" i="2"/>
  <c r="E103" i="2" s="1"/>
  <c r="AM96" i="2"/>
  <c r="AM95" i="2"/>
  <c r="E92" i="2"/>
  <c r="E96" i="2"/>
  <c r="AM99" i="2"/>
  <c r="E94" i="2"/>
  <c r="AM97" i="2"/>
  <c r="AG100" i="2"/>
  <c r="F109" i="2" s="1"/>
  <c r="F116" i="2" s="1"/>
  <c r="E90" i="2"/>
  <c r="AM93" i="2"/>
  <c r="E95" i="2"/>
  <c r="E105" i="2" s="1"/>
  <c r="AM98" i="2"/>
  <c r="E119" i="2"/>
  <c r="AG58" i="2"/>
  <c r="AG56" i="2"/>
  <c r="AG55" i="2"/>
  <c r="AG54" i="2"/>
  <c r="AG50" i="2"/>
  <c r="AG53" i="2"/>
  <c r="AG52" i="2"/>
  <c r="AG51" i="2"/>
  <c r="AG57" i="2"/>
  <c r="AG49" i="2"/>
  <c r="I36" i="2"/>
  <c r="E74" i="2"/>
  <c r="E71" i="2"/>
  <c r="E99" i="2" l="1"/>
  <c r="E104" i="2"/>
  <c r="E100" i="2" s="1"/>
  <c r="F110" i="2"/>
  <c r="F117" i="2" s="1"/>
  <c r="AM100" i="2"/>
  <c r="AN95" i="2" s="1"/>
  <c r="E97" i="2"/>
  <c r="F108" i="2"/>
  <c r="F115" i="2" s="1"/>
  <c r="E78" i="2"/>
  <c r="E49" i="2"/>
  <c r="E61" i="2" s="1"/>
  <c r="AM52" i="2"/>
  <c r="AM54" i="2"/>
  <c r="E51" i="2"/>
  <c r="AM53" i="2"/>
  <c r="E50" i="2"/>
  <c r="AM50" i="2"/>
  <c r="E47" i="2"/>
  <c r="J36" i="2"/>
  <c r="AM55" i="2"/>
  <c r="E52" i="2"/>
  <c r="E53" i="2"/>
  <c r="AM56" i="2"/>
  <c r="E48" i="2"/>
  <c r="AM51" i="2"/>
  <c r="AM49" i="2"/>
  <c r="AG59" i="2"/>
  <c r="E46" i="2"/>
  <c r="AM57" i="2"/>
  <c r="E54" i="2"/>
  <c r="AM58" i="2"/>
  <c r="E55" i="2"/>
  <c r="AN99" i="2" l="1"/>
  <c r="AN96" i="2"/>
  <c r="AN97" i="2"/>
  <c r="AN93" i="2"/>
  <c r="F119" i="2"/>
  <c r="AN91" i="2"/>
  <c r="AN94" i="2"/>
  <c r="AN92" i="2"/>
  <c r="AN98" i="2"/>
  <c r="E101" i="2"/>
  <c r="AN90" i="2"/>
  <c r="F112" i="2"/>
  <c r="E58" i="2"/>
  <c r="E62" i="2"/>
  <c r="E63" i="2"/>
  <c r="E64" i="2"/>
  <c r="F68" i="2"/>
  <c r="F75" i="2" s="1"/>
  <c r="F67" i="2"/>
  <c r="F69" i="2"/>
  <c r="F76" i="2" s="1"/>
  <c r="E56" i="2"/>
  <c r="AM59" i="2"/>
  <c r="AN52" i="2" s="1"/>
  <c r="AN57" i="2" l="1"/>
  <c r="F54" i="2" s="1"/>
  <c r="AN54" i="2"/>
  <c r="AN51" i="2"/>
  <c r="AT51" i="2" s="1"/>
  <c r="AN53" i="2"/>
  <c r="F50" i="2" s="1"/>
  <c r="AN50" i="2"/>
  <c r="AT50" i="2" s="1"/>
  <c r="AN58" i="2"/>
  <c r="AT58" i="2" s="1"/>
  <c r="AN49" i="2"/>
  <c r="AT49" i="2" s="1"/>
  <c r="AN55" i="2"/>
  <c r="AT55" i="2" s="1"/>
  <c r="AT95" i="2"/>
  <c r="F92" i="2"/>
  <c r="AT97" i="2"/>
  <c r="F94" i="2"/>
  <c r="F89" i="2"/>
  <c r="F102" i="2" s="1"/>
  <c r="AT92" i="2"/>
  <c r="AN56" i="2"/>
  <c r="F53" i="2" s="1"/>
  <c r="AT91" i="2"/>
  <c r="F88" i="2"/>
  <c r="AT96" i="2"/>
  <c r="F93" i="2"/>
  <c r="F103" i="2" s="1"/>
  <c r="E60" i="2"/>
  <c r="F90" i="2"/>
  <c r="AT93" i="2"/>
  <c r="F87" i="2"/>
  <c r="AN100" i="2"/>
  <c r="AT90" i="2"/>
  <c r="F95" i="2"/>
  <c r="F105" i="2" s="1"/>
  <c r="AT98" i="2"/>
  <c r="E59" i="2"/>
  <c r="F91" i="2"/>
  <c r="AT94" i="2"/>
  <c r="AT99" i="2"/>
  <c r="F96" i="2"/>
  <c r="F47" i="2"/>
  <c r="F48" i="2"/>
  <c r="AT54" i="2"/>
  <c r="F51" i="2"/>
  <c r="AT52" i="2"/>
  <c r="F49" i="2"/>
  <c r="F61" i="2" s="1"/>
  <c r="F55" i="2"/>
  <c r="AT57" i="2"/>
  <c r="F71" i="2"/>
  <c r="F74" i="2"/>
  <c r="F58" i="2" l="1"/>
  <c r="F52" i="2"/>
  <c r="F46" i="2"/>
  <c r="AT53" i="2"/>
  <c r="BA53" i="2" s="1"/>
  <c r="F99" i="2"/>
  <c r="F104" i="2"/>
  <c r="F100" i="2" s="1"/>
  <c r="G108" i="2"/>
  <c r="G109" i="2"/>
  <c r="G116" i="2" s="1"/>
  <c r="F97" i="2"/>
  <c r="G110" i="2"/>
  <c r="G117" i="2" s="1"/>
  <c r="BA94" i="2"/>
  <c r="BA92" i="2"/>
  <c r="BA91" i="2"/>
  <c r="BA93" i="2"/>
  <c r="BA98" i="2"/>
  <c r="BA97" i="2"/>
  <c r="AN59" i="2"/>
  <c r="G69" i="2" s="1"/>
  <c r="G76" i="2" s="1"/>
  <c r="BA99" i="2"/>
  <c r="AT56" i="2"/>
  <c r="BA96" i="2"/>
  <c r="AT100" i="2"/>
  <c r="AU90" i="2" s="1"/>
  <c r="BA90" i="2"/>
  <c r="BA95" i="2"/>
  <c r="BA50" i="2"/>
  <c r="BA58" i="2"/>
  <c r="BA54" i="2"/>
  <c r="BA52" i="2"/>
  <c r="G68" i="2"/>
  <c r="G75" i="2" s="1"/>
  <c r="BA57" i="2"/>
  <c r="F63" i="2"/>
  <c r="F59" i="2" s="1"/>
  <c r="F62" i="2"/>
  <c r="F60" i="2" s="1"/>
  <c r="F78" i="2"/>
  <c r="BA49" i="2"/>
  <c r="BA51" i="2"/>
  <c r="F64" i="2"/>
  <c r="BA55" i="2"/>
  <c r="AT59" i="2" l="1"/>
  <c r="AU58" i="2" s="1"/>
  <c r="G55" i="2" s="1"/>
  <c r="F56" i="2"/>
  <c r="G67" i="2"/>
  <c r="G71" i="2" s="1"/>
  <c r="AU93" i="2"/>
  <c r="G90" i="2" s="1"/>
  <c r="AU97" i="2"/>
  <c r="G94" i="2" s="1"/>
  <c r="AU99" i="2"/>
  <c r="G96" i="2" s="1"/>
  <c r="AU98" i="2"/>
  <c r="G95" i="2" s="1"/>
  <c r="G105" i="2" s="1"/>
  <c r="G104" i="2"/>
  <c r="AU95" i="2"/>
  <c r="G92" i="2" s="1"/>
  <c r="AU96" i="2"/>
  <c r="G93" i="2" s="1"/>
  <c r="G103" i="2" s="1"/>
  <c r="F101" i="2"/>
  <c r="AU92" i="2"/>
  <c r="G89" i="2" s="1"/>
  <c r="G102" i="2" s="1"/>
  <c r="AU94" i="2"/>
  <c r="G91" i="2" s="1"/>
  <c r="AU91" i="2"/>
  <c r="G88" i="2" s="1"/>
  <c r="BA100" i="2"/>
  <c r="BB90" i="2" s="1"/>
  <c r="G87" i="2"/>
  <c r="BA56" i="2"/>
  <c r="G74" i="2"/>
  <c r="G78" i="2" s="1"/>
  <c r="G112" i="2"/>
  <c r="G115" i="2"/>
  <c r="AU53" i="2"/>
  <c r="G50" i="2" s="1"/>
  <c r="AU50" i="2"/>
  <c r="G47" i="2" s="1"/>
  <c r="AU55" i="2"/>
  <c r="G52" i="2" s="1"/>
  <c r="AU56" i="2"/>
  <c r="G53" i="2" s="1"/>
  <c r="AU54" i="2"/>
  <c r="G51" i="2" s="1"/>
  <c r="AU51" i="2"/>
  <c r="G48" i="2" s="1"/>
  <c r="AU57" i="2"/>
  <c r="G54" i="2" s="1"/>
  <c r="AU52" i="2"/>
  <c r="G49" i="2" s="1"/>
  <c r="G61" i="2" s="1"/>
  <c r="AU49" i="2"/>
  <c r="BB96" i="2" l="1"/>
  <c r="G99" i="2"/>
  <c r="BB91" i="2"/>
  <c r="BA59" i="2"/>
  <c r="BB58" i="2" s="1"/>
  <c r="BB94" i="2"/>
  <c r="H91" i="2" s="1"/>
  <c r="BB99" i="2"/>
  <c r="BI99" i="2" s="1"/>
  <c r="BB93" i="2"/>
  <c r="H90" i="2" s="1"/>
  <c r="G100" i="2"/>
  <c r="BB95" i="2"/>
  <c r="H92" i="2" s="1"/>
  <c r="AU100" i="2"/>
  <c r="G97" i="2" s="1"/>
  <c r="G101" i="2"/>
  <c r="BB97" i="2"/>
  <c r="BB92" i="2"/>
  <c r="BB98" i="2"/>
  <c r="H95" i="2" s="1"/>
  <c r="H105" i="2" s="1"/>
  <c r="H88" i="2"/>
  <c r="BI91" i="2"/>
  <c r="BI90" i="2"/>
  <c r="H87" i="2"/>
  <c r="BB54" i="2"/>
  <c r="H51" i="2" s="1"/>
  <c r="G119" i="2"/>
  <c r="BB55" i="2"/>
  <c r="H52" i="2" s="1"/>
  <c r="G58" i="2"/>
  <c r="H96" i="2"/>
  <c r="BI96" i="2"/>
  <c r="H93" i="2"/>
  <c r="H103" i="2" s="1"/>
  <c r="BB51" i="2"/>
  <c r="BI51" i="2" s="1"/>
  <c r="AU59" i="2"/>
  <c r="G46" i="2"/>
  <c r="BI54" i="2"/>
  <c r="G64" i="2"/>
  <c r="G63" i="2"/>
  <c r="G62" i="2"/>
  <c r="BI58" i="2" l="1"/>
  <c r="H55" i="2"/>
  <c r="G60" i="2"/>
  <c r="BI94" i="2"/>
  <c r="BQ94" i="2" s="1"/>
  <c r="G59" i="2"/>
  <c r="BI95" i="2"/>
  <c r="BQ95" i="2" s="1"/>
  <c r="BI93" i="2"/>
  <c r="BQ93" i="2" s="1"/>
  <c r="H108" i="2"/>
  <c r="H115" i="2" s="1"/>
  <c r="H119" i="2" s="1"/>
  <c r="BI55" i="2"/>
  <c r="BQ55" i="2" s="1"/>
  <c r="H109" i="2"/>
  <c r="H116" i="2" s="1"/>
  <c r="I116" i="2" s="1"/>
  <c r="H48" i="2"/>
  <c r="H110" i="2"/>
  <c r="H117" i="2" s="1"/>
  <c r="BB53" i="2"/>
  <c r="BB50" i="2"/>
  <c r="BB57" i="2"/>
  <c r="BB52" i="2"/>
  <c r="BB49" i="2"/>
  <c r="BB56" i="2"/>
  <c r="BI98" i="2"/>
  <c r="BQ98" i="2" s="1"/>
  <c r="BB100" i="2"/>
  <c r="H97" i="2" s="1"/>
  <c r="H94" i="2"/>
  <c r="BI97" i="2"/>
  <c r="BI92" i="2"/>
  <c r="H89" i="2"/>
  <c r="H102" i="2" s="1"/>
  <c r="BQ99" i="2"/>
  <c r="BQ90" i="2"/>
  <c r="BQ96" i="2"/>
  <c r="BQ91" i="2"/>
  <c r="BQ58" i="2"/>
  <c r="BQ54" i="2"/>
  <c r="H67" i="2"/>
  <c r="H69" i="2"/>
  <c r="H76" i="2" s="1"/>
  <c r="G56" i="2"/>
  <c r="H68" i="2"/>
  <c r="H75" i="2" s="1"/>
  <c r="I75" i="2" s="1"/>
  <c r="BQ51" i="2"/>
  <c r="BI53" i="2" l="1"/>
  <c r="H50" i="2"/>
  <c r="I108" i="2"/>
  <c r="I110" i="2"/>
  <c r="I117" i="2" s="1"/>
  <c r="BI52" i="2"/>
  <c r="BQ52" i="2" s="1"/>
  <c r="BY52" i="2" s="1"/>
  <c r="H49" i="2"/>
  <c r="H61" i="2" s="1"/>
  <c r="H112" i="2"/>
  <c r="H54" i="2"/>
  <c r="H64" i="2" s="1"/>
  <c r="BI57" i="2"/>
  <c r="BQ57" i="2" s="1"/>
  <c r="BY57" i="2" s="1"/>
  <c r="H53" i="2"/>
  <c r="BI56" i="2"/>
  <c r="BQ56" i="2" s="1"/>
  <c r="H46" i="2"/>
  <c r="BB59" i="2"/>
  <c r="BI49" i="2"/>
  <c r="H47" i="2"/>
  <c r="BI50" i="2"/>
  <c r="BQ50" i="2" s="1"/>
  <c r="BY50" i="2" s="1"/>
  <c r="BQ92" i="2"/>
  <c r="BQ97" i="2"/>
  <c r="H104" i="2"/>
  <c r="H100" i="2" s="1"/>
  <c r="H99" i="2"/>
  <c r="BI100" i="2"/>
  <c r="BJ92" i="2" s="1"/>
  <c r="I89" i="2" s="1"/>
  <c r="I102" i="2" s="1"/>
  <c r="BY95" i="2"/>
  <c r="BY99" i="2"/>
  <c r="I112" i="2"/>
  <c r="BY90" i="2"/>
  <c r="BY94" i="2"/>
  <c r="I115" i="2"/>
  <c r="BY98" i="2"/>
  <c r="BY91" i="2"/>
  <c r="BY96" i="2"/>
  <c r="BY93" i="2"/>
  <c r="BY54" i="2"/>
  <c r="BY51" i="2"/>
  <c r="BY55" i="2"/>
  <c r="BY58" i="2"/>
  <c r="BY56" i="2"/>
  <c r="H71" i="2"/>
  <c r="H74" i="2"/>
  <c r="BQ100" i="2" l="1"/>
  <c r="BR90" i="2" s="1"/>
  <c r="BQ49" i="2"/>
  <c r="BI59" i="2"/>
  <c r="BJ49" i="2"/>
  <c r="I46" i="2" s="1"/>
  <c r="I67" i="2"/>
  <c r="H56" i="2"/>
  <c r="I69" i="2"/>
  <c r="I76" i="2" s="1"/>
  <c r="H62" i="2"/>
  <c r="H63" i="2"/>
  <c r="H58" i="2"/>
  <c r="BQ53" i="2"/>
  <c r="BY53" i="2" s="1"/>
  <c r="CG53" i="2" s="1"/>
  <c r="BJ53" i="2"/>
  <c r="I50" i="2" s="1"/>
  <c r="BJ97" i="2"/>
  <c r="I94" i="2" s="1"/>
  <c r="BR91" i="2"/>
  <c r="J88" i="2" s="1"/>
  <c r="BR94" i="2"/>
  <c r="J91" i="2" s="1"/>
  <c r="BR95" i="2"/>
  <c r="J92" i="2" s="1"/>
  <c r="BR92" i="2"/>
  <c r="J89" i="2" s="1"/>
  <c r="J102" i="2" s="1"/>
  <c r="BY92" i="2"/>
  <c r="BR99" i="2"/>
  <c r="J96" i="2" s="1"/>
  <c r="BR96" i="2"/>
  <c r="J93" i="2" s="1"/>
  <c r="J103" i="2" s="1"/>
  <c r="BR98" i="2"/>
  <c r="J95" i="2" s="1"/>
  <c r="J105" i="2" s="1"/>
  <c r="BR93" i="2"/>
  <c r="J90" i="2" s="1"/>
  <c r="I104" i="2"/>
  <c r="H101" i="2"/>
  <c r="BJ90" i="2"/>
  <c r="BJ93" i="2"/>
  <c r="I90" i="2" s="1"/>
  <c r="BJ94" i="2"/>
  <c r="I91" i="2" s="1"/>
  <c r="BJ98" i="2"/>
  <c r="I95" i="2" s="1"/>
  <c r="I105" i="2" s="1"/>
  <c r="BJ95" i="2"/>
  <c r="I92" i="2" s="1"/>
  <c r="BJ96" i="2"/>
  <c r="I93" i="2" s="1"/>
  <c r="I103" i="2" s="1"/>
  <c r="BJ99" i="2"/>
  <c r="I96" i="2" s="1"/>
  <c r="BJ91" i="2"/>
  <c r="I88" i="2" s="1"/>
  <c r="BR97" i="2"/>
  <c r="J94" i="2" s="1"/>
  <c r="BY97" i="2"/>
  <c r="CG98" i="2"/>
  <c r="I119" i="2"/>
  <c r="CG90" i="2"/>
  <c r="CG94" i="2"/>
  <c r="CG93" i="2"/>
  <c r="CG95" i="2"/>
  <c r="CG91" i="2"/>
  <c r="CG96" i="2"/>
  <c r="CG99" i="2"/>
  <c r="J87" i="2"/>
  <c r="CG57" i="2"/>
  <c r="CG54" i="2"/>
  <c r="CG55" i="2"/>
  <c r="H78" i="2"/>
  <c r="I74" i="2"/>
  <c r="CG56" i="2"/>
  <c r="CG52" i="2"/>
  <c r="CG50" i="2"/>
  <c r="CG51" i="2"/>
  <c r="CG58" i="2"/>
  <c r="H60" i="2" l="1"/>
  <c r="I71" i="2"/>
  <c r="BJ50" i="2"/>
  <c r="BJ54" i="2"/>
  <c r="I51" i="2" s="1"/>
  <c r="BJ55" i="2"/>
  <c r="I52" i="2" s="1"/>
  <c r="BJ58" i="2"/>
  <c r="I55" i="2" s="1"/>
  <c r="BJ51" i="2"/>
  <c r="I48" i="2" s="1"/>
  <c r="BJ56" i="2"/>
  <c r="I53" i="2" s="1"/>
  <c r="BJ57" i="2"/>
  <c r="I54" i="2" s="1"/>
  <c r="I64" i="2" s="1"/>
  <c r="BJ52" i="2"/>
  <c r="I49" i="2" s="1"/>
  <c r="I61" i="2" s="1"/>
  <c r="BQ59" i="2"/>
  <c r="BY49" i="2"/>
  <c r="BR49" i="2"/>
  <c r="J46" i="2" s="1"/>
  <c r="H59" i="2"/>
  <c r="I101" i="2"/>
  <c r="CG97" i="2"/>
  <c r="BR100" i="2"/>
  <c r="K110" i="2" s="1"/>
  <c r="J104" i="2"/>
  <c r="J100" i="2" s="1"/>
  <c r="J99" i="2"/>
  <c r="BY100" i="2"/>
  <c r="BJ100" i="2"/>
  <c r="I87" i="2"/>
  <c r="I99" i="2"/>
  <c r="I100" i="2"/>
  <c r="CG92" i="2"/>
  <c r="I78" i="2"/>
  <c r="CG100" i="2" l="1"/>
  <c r="I58" i="2"/>
  <c r="I62" i="2"/>
  <c r="I63" i="2"/>
  <c r="I59" i="2" s="1"/>
  <c r="CG49" i="2"/>
  <c r="BY59" i="2"/>
  <c r="BR54" i="2"/>
  <c r="J51" i="2" s="1"/>
  <c r="BR56" i="2"/>
  <c r="J53" i="2" s="1"/>
  <c r="BR55" i="2"/>
  <c r="J52" i="2" s="1"/>
  <c r="BR58" i="2"/>
  <c r="J55" i="2" s="1"/>
  <c r="BR57" i="2"/>
  <c r="J54" i="2" s="1"/>
  <c r="J64" i="2" s="1"/>
  <c r="BR52" i="2"/>
  <c r="J49" i="2" s="1"/>
  <c r="J61" i="2" s="1"/>
  <c r="BR50" i="2"/>
  <c r="BR53" i="2"/>
  <c r="J50" i="2" s="1"/>
  <c r="BR51" i="2"/>
  <c r="J48" i="2" s="1"/>
  <c r="I47" i="2"/>
  <c r="BJ59" i="2"/>
  <c r="CH94" i="2"/>
  <c r="L91" i="2" s="1"/>
  <c r="CH96" i="2"/>
  <c r="L93" i="2" s="1"/>
  <c r="L103" i="2" s="1"/>
  <c r="CH99" i="2"/>
  <c r="L96" i="2" s="1"/>
  <c r="CH93" i="2"/>
  <c r="L90" i="2" s="1"/>
  <c r="CH95" i="2"/>
  <c r="L92" i="2" s="1"/>
  <c r="K111" i="2"/>
  <c r="K118" i="2" s="1"/>
  <c r="J97" i="2"/>
  <c r="K109" i="2"/>
  <c r="J111" i="2"/>
  <c r="J118" i="2" s="1"/>
  <c r="J110" i="2"/>
  <c r="J117" i="2" s="1"/>
  <c r="K117" i="2" s="1"/>
  <c r="I97" i="2"/>
  <c r="J109" i="2"/>
  <c r="J116" i="2" s="1"/>
  <c r="J108" i="2"/>
  <c r="J101" i="2"/>
  <c r="BZ98" i="2"/>
  <c r="K95" i="2" s="1"/>
  <c r="K105" i="2" s="1"/>
  <c r="BZ94" i="2"/>
  <c r="K91" i="2" s="1"/>
  <c r="BZ90" i="2"/>
  <c r="BZ95" i="2"/>
  <c r="K92" i="2" s="1"/>
  <c r="BZ96" i="2"/>
  <c r="K93" i="2" s="1"/>
  <c r="K103" i="2" s="1"/>
  <c r="BZ91" i="2"/>
  <c r="K88" i="2" s="1"/>
  <c r="BZ93" i="2"/>
  <c r="K90" i="2" s="1"/>
  <c r="BZ99" i="2"/>
  <c r="K96" i="2" s="1"/>
  <c r="CH92" i="2"/>
  <c r="L89" i="2" s="1"/>
  <c r="L102" i="2" s="1"/>
  <c r="CH98" i="2"/>
  <c r="L95" i="2" s="1"/>
  <c r="L105" i="2" s="1"/>
  <c r="CH91" i="2"/>
  <c r="L88" i="2" s="1"/>
  <c r="CH97" i="2"/>
  <c r="L94" i="2" s="1"/>
  <c r="CH90" i="2"/>
  <c r="K108" i="2"/>
  <c r="K97" i="2"/>
  <c r="BZ92" i="2"/>
  <c r="K89" i="2" s="1"/>
  <c r="K102" i="2" s="1"/>
  <c r="BZ97" i="2"/>
  <c r="K94" i="2" s="1"/>
  <c r="K116" i="2" l="1"/>
  <c r="I56" i="2"/>
  <c r="J68" i="2"/>
  <c r="J75" i="2" s="1"/>
  <c r="J67" i="2"/>
  <c r="J70" i="2"/>
  <c r="J77" i="2" s="1"/>
  <c r="J69" i="2"/>
  <c r="J76" i="2" s="1"/>
  <c r="J58" i="2"/>
  <c r="J63" i="2"/>
  <c r="J62" i="2"/>
  <c r="BZ56" i="2"/>
  <c r="K53" i="2" s="1"/>
  <c r="BZ57" i="2"/>
  <c r="K54" i="2" s="1"/>
  <c r="K64" i="2" s="1"/>
  <c r="BZ54" i="2"/>
  <c r="K51" i="2" s="1"/>
  <c r="BZ58" i="2"/>
  <c r="K55" i="2" s="1"/>
  <c r="BZ50" i="2"/>
  <c r="K47" i="2" s="1"/>
  <c r="BZ51" i="2"/>
  <c r="K48" i="2" s="1"/>
  <c r="BZ49" i="2"/>
  <c r="BZ55" i="2"/>
  <c r="K52" i="2" s="1"/>
  <c r="BZ53" i="2"/>
  <c r="K50" i="2" s="1"/>
  <c r="BZ52" i="2"/>
  <c r="K49" i="2" s="1"/>
  <c r="K61" i="2" s="1"/>
  <c r="J47" i="2"/>
  <c r="BR59" i="2"/>
  <c r="CG59" i="2"/>
  <c r="CH49" i="2" s="1"/>
  <c r="L46" i="2" s="1"/>
  <c r="J59" i="2"/>
  <c r="I60" i="2"/>
  <c r="CH100" i="2"/>
  <c r="J115" i="2"/>
  <c r="J119" i="2" s="1"/>
  <c r="J112" i="2"/>
  <c r="L104" i="2"/>
  <c r="L100" i="2" s="1"/>
  <c r="L99" i="2"/>
  <c r="BZ100" i="2"/>
  <c r="K87" i="2"/>
  <c r="K112" i="2"/>
  <c r="K104" i="2"/>
  <c r="K100" i="2" s="1"/>
  <c r="K99" i="2"/>
  <c r="J60" i="2" l="1"/>
  <c r="K46" i="2"/>
  <c r="BZ59" i="2"/>
  <c r="J74" i="2"/>
  <c r="J71" i="2"/>
  <c r="K68" i="2"/>
  <c r="K75" i="2" s="1"/>
  <c r="K69" i="2"/>
  <c r="K76" i="2" s="1"/>
  <c r="K67" i="2"/>
  <c r="K70" i="2"/>
  <c r="K77" i="2" s="1"/>
  <c r="K56" i="2"/>
  <c r="J56" i="2"/>
  <c r="K58" i="2"/>
  <c r="K62" i="2"/>
  <c r="K63" i="2"/>
  <c r="K59" i="2" s="1"/>
  <c r="CH55" i="2"/>
  <c r="L52" i="2" s="1"/>
  <c r="CH57" i="2"/>
  <c r="L54" i="2" s="1"/>
  <c r="L64" i="2" s="1"/>
  <c r="CH51" i="2"/>
  <c r="L48" i="2" s="1"/>
  <c r="CH52" i="2"/>
  <c r="L49" i="2" s="1"/>
  <c r="L61" i="2" s="1"/>
  <c r="CH53" i="2"/>
  <c r="L50" i="2" s="1"/>
  <c r="CH54" i="2"/>
  <c r="L51" i="2" s="1"/>
  <c r="CH50" i="2"/>
  <c r="L47" i="2" s="1"/>
  <c r="CH56" i="2"/>
  <c r="L53" i="2" s="1"/>
  <c r="CH58" i="2"/>
  <c r="L55" i="2" s="1"/>
  <c r="L111" i="2"/>
  <c r="L118" i="2" s="1"/>
  <c r="L97" i="2"/>
  <c r="L108" i="2"/>
  <c r="L110" i="2"/>
  <c r="L117" i="2" s="1"/>
  <c r="L109" i="2"/>
  <c r="L116" i="2" s="1"/>
  <c r="L101" i="2"/>
  <c r="K101" i="2"/>
  <c r="K115" i="2"/>
  <c r="L58" i="2" l="1"/>
  <c r="L63" i="2"/>
  <c r="L59" i="2" s="1"/>
  <c r="L62" i="2"/>
  <c r="L60" i="2" s="1"/>
  <c r="J78" i="2"/>
  <c r="K74" i="2"/>
  <c r="CH59" i="2"/>
  <c r="L56" i="2"/>
  <c r="L70" i="2"/>
  <c r="L77" i="2" s="1"/>
  <c r="L68" i="2"/>
  <c r="L75" i="2" s="1"/>
  <c r="L67" i="2"/>
  <c r="L69" i="2"/>
  <c r="L76" i="2" s="1"/>
  <c r="K60" i="2"/>
  <c r="K71" i="2"/>
  <c r="K119" i="2"/>
  <c r="L115" i="2"/>
  <c r="L112" i="2"/>
  <c r="L119" i="2" l="1"/>
  <c r="P110" i="2"/>
  <c r="P111" i="2"/>
  <c r="S111" i="2"/>
  <c r="Q111" i="2"/>
  <c r="K78" i="2"/>
  <c r="L74" i="2"/>
  <c r="L78" i="2" s="1"/>
  <c r="P69" i="2" s="1"/>
  <c r="C129" i="2" s="1"/>
  <c r="L71" i="2"/>
  <c r="R111" i="2"/>
  <c r="T111" i="2" l="1"/>
  <c r="S110" i="2"/>
  <c r="Q110" i="2"/>
  <c r="T110" i="2" s="1"/>
  <c r="R110" i="2"/>
  <c r="R69" i="2"/>
  <c r="E129" i="2" s="1"/>
  <c r="R70" i="2"/>
  <c r="Q70" i="2"/>
  <c r="P70" i="2"/>
  <c r="S69" i="2"/>
  <c r="F129" i="2" s="1"/>
  <c r="G129" i="2" s="1"/>
  <c r="Q69" i="2"/>
  <c r="D129" i="2" s="1"/>
  <c r="C157" i="2" s="1"/>
  <c r="E157" i="2" s="1"/>
  <c r="G157" i="2" s="1"/>
  <c r="S70" i="2"/>
  <c r="C140" i="2"/>
  <c r="C159" i="2" s="1"/>
  <c r="E159" i="2" s="1"/>
  <c r="G159" i="2" s="1"/>
  <c r="L159" i="2" s="1"/>
  <c r="C139" i="2" l="1"/>
  <c r="C158" i="2" s="1"/>
  <c r="E158" i="2" s="1"/>
  <c r="G158" i="2" s="1"/>
  <c r="I158" i="2" s="1"/>
  <c r="C141" i="2"/>
  <c r="C160" i="2" s="1"/>
  <c r="E160" i="2" s="1"/>
  <c r="G160" i="2" s="1"/>
  <c r="N159" i="2"/>
  <c r="O159" i="2"/>
  <c r="H159" i="2"/>
  <c r="M159" i="2"/>
  <c r="I159" i="2"/>
  <c r="J159" i="2"/>
  <c r="K159" i="2"/>
  <c r="N158" i="2"/>
  <c r="M158" i="2"/>
  <c r="L158" i="2"/>
  <c r="K158" i="2"/>
  <c r="J158" i="2"/>
  <c r="N157" i="2"/>
  <c r="M157" i="2"/>
  <c r="L157" i="2"/>
  <c r="K157" i="2"/>
  <c r="J157" i="2"/>
  <c r="I157" i="2"/>
  <c r="H157" i="2"/>
  <c r="O157" i="2"/>
  <c r="O160" i="2"/>
  <c r="N160" i="2"/>
  <c r="M160" i="2"/>
  <c r="L160" i="2"/>
  <c r="K160" i="2"/>
  <c r="J160" i="2"/>
  <c r="I160" i="2"/>
  <c r="H160" i="2"/>
  <c r="AB14" i="2"/>
  <c r="AB18" i="2"/>
  <c r="AB22" i="2"/>
  <c r="AB16" i="2"/>
  <c r="W24" i="2"/>
  <c r="AB17" i="2"/>
  <c r="AB15" i="2"/>
  <c r="AB19" i="2"/>
  <c r="AB23" i="2"/>
  <c r="AB21" i="2"/>
  <c r="AB20" i="2"/>
  <c r="O158" i="2" l="1"/>
  <c r="H158" i="2"/>
  <c r="AB24" i="2"/>
  <c r="AC19" i="2" s="1"/>
  <c r="AH19" i="2" s="1"/>
  <c r="AC23" i="2" l="1"/>
  <c r="AH23" i="2" s="1"/>
  <c r="AC20" i="2"/>
  <c r="AH20" i="2" s="1"/>
  <c r="AC21" i="2"/>
  <c r="AH21" i="2" s="1"/>
  <c r="AC18" i="2"/>
  <c r="AH18" i="2" s="1"/>
  <c r="AC22" i="2"/>
  <c r="AH22" i="2" s="1"/>
  <c r="AC16" i="2"/>
  <c r="AH16" i="2" s="1"/>
  <c r="AC15" i="2"/>
  <c r="AH15" i="2" s="1"/>
  <c r="AC17" i="2"/>
  <c r="AH17" i="2" s="1"/>
  <c r="AC14" i="2"/>
  <c r="AH14" i="2"/>
  <c r="AC24" i="2" l="1"/>
  <c r="AH24" i="2"/>
  <c r="AI21" i="2" s="1"/>
  <c r="AN21" i="2" s="1"/>
  <c r="AI16" i="2"/>
  <c r="AN16" i="2" s="1"/>
  <c r="AI23" i="2"/>
  <c r="AN23" i="2" s="1"/>
  <c r="AI19" i="2"/>
  <c r="AN19" i="2" s="1"/>
  <c r="AI18" i="2"/>
  <c r="AN18" i="2" s="1"/>
  <c r="AI15" i="2"/>
  <c r="AN15" i="2" s="1"/>
  <c r="AI17" i="2"/>
  <c r="AN17" i="2" s="1"/>
  <c r="AI22" i="2"/>
  <c r="AN22" i="2" s="1"/>
  <c r="AI14" i="2"/>
  <c r="AI20" i="2" l="1"/>
  <c r="AN20" i="2" s="1"/>
  <c r="AN14" i="2"/>
  <c r="AI24" i="2" l="1"/>
  <c r="AN24" i="2"/>
  <c r="AO15" i="2" l="1"/>
  <c r="AU15" i="2" s="1"/>
  <c r="AO23" i="2"/>
  <c r="AU23" i="2" s="1"/>
  <c r="AO22" i="2"/>
  <c r="AU22" i="2" s="1"/>
  <c r="AO16" i="2"/>
  <c r="AU16" i="2" s="1"/>
  <c r="AO21" i="2"/>
  <c r="AU21" i="2" s="1"/>
  <c r="AO20" i="2"/>
  <c r="AU20" i="2" s="1"/>
  <c r="AO19" i="2"/>
  <c r="AU19" i="2" s="1"/>
  <c r="AO18" i="2"/>
  <c r="AU18" i="2" s="1"/>
  <c r="AO17" i="2"/>
  <c r="AU17" i="2" s="1"/>
  <c r="AO14" i="2"/>
  <c r="BA18" i="2" l="1"/>
  <c r="BA21" i="2"/>
  <c r="BA22" i="2"/>
  <c r="BA20" i="2"/>
  <c r="BA16" i="2"/>
  <c r="AU14" i="2"/>
  <c r="AU24" i="2" s="1"/>
  <c r="AV18" i="2" s="1"/>
  <c r="AO24" i="2"/>
  <c r="BA23" i="2"/>
  <c r="BA19" i="2"/>
  <c r="BA17" i="2"/>
  <c r="BA15" i="2"/>
  <c r="AV17" i="2" l="1"/>
  <c r="AV20" i="2"/>
  <c r="AV19" i="2"/>
  <c r="AV22" i="2"/>
  <c r="AV23" i="2"/>
  <c r="AV15" i="2"/>
  <c r="BG20" i="2"/>
  <c r="BG22" i="2"/>
  <c r="BG15" i="2"/>
  <c r="BG19" i="2"/>
  <c r="BG23" i="2"/>
  <c r="BG21" i="2"/>
  <c r="AV14" i="2"/>
  <c r="BA14" i="2"/>
  <c r="AV21" i="2"/>
  <c r="BG17" i="2"/>
  <c r="AV16" i="2"/>
  <c r="BG16" i="2"/>
  <c r="BG18" i="2"/>
  <c r="AV24" i="2" l="1"/>
  <c r="BM17" i="2"/>
  <c r="BM20" i="2"/>
  <c r="BM18" i="2"/>
  <c r="BB14" i="2"/>
  <c r="BG14" i="2"/>
  <c r="BM15" i="2"/>
  <c r="BM19" i="2"/>
  <c r="BM16" i="2"/>
  <c r="BM21" i="2"/>
  <c r="BA24" i="2"/>
  <c r="BM22" i="2"/>
  <c r="BM23" i="2"/>
  <c r="BM14" i="2" l="1"/>
  <c r="BG24" i="2"/>
  <c r="BB22" i="2"/>
  <c r="BB21" i="2"/>
  <c r="BB16" i="2"/>
  <c r="BB18" i="2"/>
  <c r="BB23" i="2"/>
  <c r="BB15" i="2"/>
  <c r="BB19" i="2"/>
  <c r="BB17" i="2"/>
  <c r="BB20" i="2"/>
  <c r="BB24" i="2" l="1"/>
  <c r="BM24" i="2"/>
  <c r="BH17" i="2"/>
  <c r="BH15" i="2"/>
  <c r="BH19" i="2"/>
  <c r="BH23" i="2"/>
  <c r="BH21" i="2"/>
  <c r="BH22" i="2"/>
  <c r="BH20" i="2"/>
  <c r="BH18" i="2"/>
  <c r="BH16" i="2"/>
  <c r="BH14" i="2"/>
  <c r="BN21" i="2" l="1"/>
  <c r="BN22" i="2"/>
  <c r="BN19" i="2"/>
  <c r="BN15" i="2"/>
  <c r="BN18" i="2"/>
  <c r="BN17" i="2"/>
  <c r="BN23" i="2"/>
  <c r="BN16" i="2"/>
  <c r="BN20" i="2"/>
  <c r="BH24" i="2"/>
  <c r="BN14" i="2"/>
  <c r="BN24" i="2" l="1"/>
</calcChain>
</file>

<file path=xl/sharedStrings.xml><?xml version="1.0" encoding="utf-8"?>
<sst xmlns="http://schemas.openxmlformats.org/spreadsheetml/2006/main" count="654" uniqueCount="138">
  <si>
    <t>Summary</t>
  </si>
  <si>
    <t>PM = parental magma</t>
  </si>
  <si>
    <t>PM</t>
  </si>
  <si>
    <t>Step1</t>
  </si>
  <si>
    <t>Step2</t>
  </si>
  <si>
    <t>Step3</t>
  </si>
  <si>
    <t>Step4</t>
  </si>
  <si>
    <t>Step5</t>
  </si>
  <si>
    <t>Step6</t>
  </si>
  <si>
    <t>Step7</t>
  </si>
  <si>
    <t>Step8</t>
  </si>
  <si>
    <t>Step 2</t>
  </si>
  <si>
    <t>Step 3</t>
  </si>
  <si>
    <t>Step 4</t>
  </si>
  <si>
    <t>Step 5</t>
  </si>
  <si>
    <t>Step 6</t>
  </si>
  <si>
    <t>Step 8</t>
  </si>
  <si>
    <t>% Crystallized</t>
  </si>
  <si>
    <t xml:space="preserve">Parent </t>
  </si>
  <si>
    <t>Total</t>
  </si>
  <si>
    <t>Remaining</t>
  </si>
  <si>
    <t xml:space="preserve">Residual </t>
  </si>
  <si>
    <t>Oxide wt.%</t>
  </si>
  <si>
    <t>Magma</t>
  </si>
  <si>
    <t>Orthoclase</t>
  </si>
  <si>
    <t>Albite</t>
  </si>
  <si>
    <t>Solid</t>
  </si>
  <si>
    <t>Mass</t>
  </si>
  <si>
    <t>Oxide</t>
  </si>
  <si>
    <r>
      <t>SiO</t>
    </r>
    <r>
      <rPr>
        <vertAlign val="subscript"/>
        <sz val="11"/>
        <rFont val="Calibri"/>
        <family val="2"/>
        <scheme val="minor"/>
      </rPr>
      <t>2</t>
    </r>
  </si>
  <si>
    <t>MnO wt.%</t>
  </si>
  <si>
    <r>
      <t>TiO</t>
    </r>
    <r>
      <rPr>
        <vertAlign val="subscript"/>
        <sz val="11"/>
        <rFont val="Calibri"/>
        <family val="2"/>
        <scheme val="minor"/>
      </rPr>
      <t>2</t>
    </r>
  </si>
  <si>
    <t>MgO wt.%</t>
  </si>
  <si>
    <t>CaO wt.%</t>
  </si>
  <si>
    <t>FeO</t>
  </si>
  <si>
    <t>MnO</t>
  </si>
  <si>
    <t>MgO</t>
  </si>
  <si>
    <t>CaO</t>
  </si>
  <si>
    <t>Al molar</t>
  </si>
  <si>
    <t>Ca molar</t>
  </si>
  <si>
    <t>Na molar</t>
  </si>
  <si>
    <t>K molar</t>
  </si>
  <si>
    <t>Total incremental mass of crystals removed</t>
  </si>
  <si>
    <t>Alkali feldspars</t>
  </si>
  <si>
    <t>Total cumulative mass of crystals removed</t>
  </si>
  <si>
    <t>Stage I</t>
  </si>
  <si>
    <t>Stage II</t>
  </si>
  <si>
    <t>Step9</t>
  </si>
  <si>
    <t>Step 7</t>
  </si>
  <si>
    <t>Residual</t>
  </si>
  <si>
    <t>Quartz</t>
  </si>
  <si>
    <t>Aegirine</t>
  </si>
  <si>
    <t>Comp.</t>
  </si>
  <si>
    <t>Wt%</t>
  </si>
  <si>
    <t>Magnetite</t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</si>
  <si>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</si>
  <si>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SiO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</si>
  <si>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</si>
  <si>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</si>
  <si>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Al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</si>
  <si>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t>FeOtot</t>
  </si>
  <si>
    <r>
      <t>Na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</si>
  <si>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</si>
  <si>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</si>
  <si>
    <t>Bulk solids normalized to 100%</t>
  </si>
  <si>
    <t>Alkali feldspar</t>
  </si>
  <si>
    <t>Combined</t>
  </si>
  <si>
    <t>Sum</t>
  </si>
  <si>
    <t>A. Calculation of Bulk Distribution Coefficients</t>
  </si>
  <si>
    <t>Mineral-Liq</t>
  </si>
  <si>
    <t>K(Zr)</t>
  </si>
  <si>
    <t>Distribution</t>
  </si>
  <si>
    <t>K(Nb)</t>
  </si>
  <si>
    <t>Coefficients</t>
  </si>
  <si>
    <t>K(Y)</t>
  </si>
  <si>
    <t>K(Ce)</t>
  </si>
  <si>
    <t>Bulk</t>
  </si>
  <si>
    <t>B. Rayleigh Fractionation</t>
  </si>
  <si>
    <t>Initial concentrations of elements in parent magma</t>
  </si>
  <si>
    <r>
      <t>C</t>
    </r>
    <r>
      <rPr>
        <b/>
        <vertAlign val="superscript"/>
        <sz val="11"/>
        <rFont val="Calibri"/>
        <family val="2"/>
        <scheme val="minor"/>
      </rPr>
      <t>0</t>
    </r>
    <r>
      <rPr>
        <b/>
        <sz val="11"/>
        <rFont val="Calibri"/>
        <family val="2"/>
        <scheme val="minor"/>
      </rPr>
      <t>(Zr)</t>
    </r>
  </si>
  <si>
    <t>ppm</t>
  </si>
  <si>
    <t>C(i)</t>
  </si>
  <si>
    <t>conc residual melt</t>
  </si>
  <si>
    <r>
      <t>C</t>
    </r>
    <r>
      <rPr>
        <b/>
        <vertAlign val="superscript"/>
        <sz val="11"/>
        <rFont val="Calibri"/>
        <family val="2"/>
        <scheme val="minor"/>
      </rPr>
      <t>0</t>
    </r>
    <r>
      <rPr>
        <b/>
        <sz val="11"/>
        <rFont val="Calibri"/>
        <family val="2"/>
        <scheme val="minor"/>
      </rPr>
      <t>(Nb)</t>
    </r>
  </si>
  <si>
    <t>C(0)</t>
  </si>
  <si>
    <t>conc parental melt</t>
  </si>
  <si>
    <r>
      <t>C</t>
    </r>
    <r>
      <rPr>
        <b/>
        <vertAlign val="superscript"/>
        <sz val="11"/>
        <rFont val="Calibri"/>
        <family val="2"/>
        <scheme val="minor"/>
      </rPr>
      <t>0</t>
    </r>
    <r>
      <rPr>
        <b/>
        <sz val="11"/>
        <rFont val="Calibri"/>
        <family val="2"/>
        <scheme val="minor"/>
      </rPr>
      <t>(Y)</t>
    </r>
  </si>
  <si>
    <t>F</t>
  </si>
  <si>
    <t>melt remaining</t>
  </si>
  <si>
    <r>
      <t>C</t>
    </r>
    <r>
      <rPr>
        <b/>
        <vertAlign val="superscript"/>
        <sz val="11"/>
        <rFont val="Calibri"/>
        <family val="2"/>
        <scheme val="minor"/>
      </rPr>
      <t>0</t>
    </r>
    <r>
      <rPr>
        <b/>
        <sz val="11"/>
        <rFont val="Calibri"/>
        <family val="2"/>
        <scheme val="minor"/>
      </rPr>
      <t>(Ce)</t>
    </r>
  </si>
  <si>
    <t>F=1 no crystallization</t>
  </si>
  <si>
    <t>F = 1</t>
  </si>
  <si>
    <t>Bulk D</t>
  </si>
  <si>
    <r>
      <t>C</t>
    </r>
    <r>
      <rPr>
        <vertAlign val="superscript"/>
        <sz val="11"/>
        <color theme="1"/>
        <rFont val="Calibri"/>
        <family val="2"/>
        <scheme val="minor"/>
      </rPr>
      <t>(0)</t>
    </r>
    <r>
      <rPr>
        <sz val="11"/>
        <color theme="1"/>
        <rFont val="Calibri"/>
        <family val="2"/>
        <scheme val="minor"/>
      </rPr>
      <t xml:space="preserve"> Step0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</si>
  <si>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Step1</t>
    </r>
    <r>
      <rPr>
        <sz val="11"/>
        <color theme="1"/>
        <rFont val="Calibri"/>
        <family val="2"/>
        <scheme val="minor"/>
      </rPr>
      <t/>
    </r>
  </si>
  <si>
    <r>
      <t>C</t>
    </r>
    <r>
      <rPr>
        <vertAlign val="superscript"/>
        <sz val="11"/>
        <color theme="1"/>
        <rFont val="Calibri"/>
        <family val="2"/>
        <scheme val="minor"/>
      </rPr>
      <t>(0)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</si>
  <si>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Step2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</si>
  <si>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Step3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</si>
  <si>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Step4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</si>
  <si>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Step5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</si>
  <si>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Step6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</si>
  <si>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Step7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</si>
  <si>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Step8</t>
    </r>
  </si>
  <si>
    <r>
      <t>C</t>
    </r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Step9</t>
    </r>
  </si>
  <si>
    <t>Zr</t>
  </si>
  <si>
    <t>Nb</t>
  </si>
  <si>
    <t>Y</t>
  </si>
  <si>
    <t>Ce</t>
  </si>
  <si>
    <r>
      <t>D</t>
    </r>
    <r>
      <rPr>
        <vertAlign val="subscript"/>
        <sz val="11"/>
        <color rgb="FFFF0000"/>
        <rFont val="Calibri"/>
        <family val="2"/>
        <scheme val="minor"/>
      </rPr>
      <t>0</t>
    </r>
  </si>
  <si>
    <t>F =1</t>
  </si>
  <si>
    <t>SUM</t>
  </si>
  <si>
    <r>
      <t>SiO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wt.%</t>
    </r>
  </si>
  <si>
    <r>
      <t>TiO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wt.%</t>
    </r>
  </si>
  <si>
    <r>
      <t>Al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wt.%</t>
    </r>
  </si>
  <si>
    <r>
      <t>FeO</t>
    </r>
    <r>
      <rPr>
        <vertAlign val="sub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 xml:space="preserve"> wt.%</t>
    </r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</si>
  <si>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</si>
  <si>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Na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wt.%</t>
    </r>
  </si>
  <si>
    <r>
      <t>K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wt.%</t>
    </r>
  </si>
  <si>
    <r>
      <t>P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wt.%</t>
    </r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</si>
  <si>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</si>
  <si>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</si>
  <si>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O+K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wt.%</t>
    </r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</si>
  <si>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</si>
  <si>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t>F2. Effect of Fractional Crystallization on Trace Element Compositions</t>
  </si>
  <si>
    <t>F1. Effect of Fractional Crystallization on Major and Minor Element Compositions</t>
  </si>
  <si>
    <t>F. Modeling of fractional crystallization</t>
  </si>
  <si>
    <r>
      <t>Al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</si>
  <si>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Na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</si>
  <si>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K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</si>
  <si>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P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</si>
  <si>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perscript"/>
        <sz val="11"/>
        <rFont val="Calibri"/>
        <family val="2"/>
        <scheme val="minor"/>
      </rPr>
      <t>l</t>
    </r>
    <r>
      <rPr>
        <sz val="1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= C</t>
    </r>
    <r>
      <rPr>
        <vertAlign val="super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x F</t>
    </r>
    <r>
      <rPr>
        <vertAlign val="superscript"/>
        <sz val="11"/>
        <rFont val="Calibri"/>
        <family val="2"/>
        <scheme val="minor"/>
      </rPr>
      <t>(K(i)-1)</t>
    </r>
  </si>
  <si>
    <r>
      <t>D</t>
    </r>
    <r>
      <rPr>
        <vertAlign val="subscript"/>
        <sz val="11"/>
        <color rgb="FFFF0000"/>
        <rFont val="Calibri"/>
        <family val="2"/>
        <scheme val="minor"/>
      </rPr>
      <t>b</t>
    </r>
  </si>
  <si>
    <t>A/NK (molar)</t>
  </si>
  <si>
    <t>A/CNK (molar)</t>
  </si>
  <si>
    <t>Model: Alkali feldspar fractionation</t>
  </si>
  <si>
    <t>Model: Two-stage alkali feldspar - quartz - aegirine - magnetite fractionation (without CaO in aegirine)</t>
  </si>
  <si>
    <t>Model: Two-stage: alkali feldspar - quartz - aegirine - magnetite fractionation (with CaO in aegirine)</t>
  </si>
  <si>
    <r>
      <rPr>
        <b/>
        <sz val="11"/>
        <color theme="1"/>
        <rFont val="Calibri"/>
        <family val="2"/>
        <scheme val="minor"/>
      </rPr>
      <t>Electronic appendix F</t>
    </r>
    <r>
      <rPr>
        <sz val="11"/>
        <color theme="1"/>
        <rFont val="Calibri"/>
        <family val="2"/>
        <scheme val="minor"/>
      </rPr>
      <t xml:space="preserve"> for the article: "Age and origin of the Nb-Zr-REE mineralization in the Paleoproterozoic A1-type granitoids at Otanmäki, central Finland" by Kärenlampi et al. (2020). Bulletin of the Geological Society of Finland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</si>
</sst>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170">
    <xf numFmtId="0" fontId="0" fillId="0" borderId="0" xfId="0"/>
    <xf numFmtId="2" fontId="3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2" fontId="0" fillId="0" borderId="4" xfId="0" applyNumberFormat="1" applyBorder="1" applyAlignment="1">
      <alignment horizontal="center"/>
    </xf>
    <xf numFmtId="10" fontId="6" fillId="2" borderId="6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" fillId="0" borderId="1" xfId="0" applyNumberFormat="1" applyFont="1" applyBorder="1"/>
    <xf numFmtId="2" fontId="1" fillId="0" borderId="2" xfId="0" applyNumberFormat="1" applyFont="1" applyBorder="1"/>
    <xf numFmtId="10" fontId="1" fillId="2" borderId="1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left"/>
    </xf>
    <xf numFmtId="1" fontId="0" fillId="0" borderId="8" xfId="0" applyNumberFormat="1" applyBorder="1" applyAlignment="1">
      <alignment horizontal="center"/>
    </xf>
    <xf numFmtId="2" fontId="6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0" xfId="0" applyNumberFormat="1" applyFont="1"/>
    <xf numFmtId="2" fontId="2" fillId="0" borderId="0" xfId="0" applyNumberFormat="1" applyFont="1"/>
    <xf numFmtId="2" fontId="2" fillId="0" borderId="11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left"/>
    </xf>
    <xf numFmtId="2" fontId="0" fillId="0" borderId="12" xfId="0" applyNumberFormat="1" applyBorder="1"/>
    <xf numFmtId="2" fontId="0" fillId="0" borderId="13" xfId="0" applyNumberFormat="1" applyBorder="1"/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left"/>
    </xf>
    <xf numFmtId="2" fontId="4" fillId="0" borderId="0" xfId="0" applyNumberFormat="1" applyFont="1" applyAlignment="1">
      <alignment vertical="center"/>
    </xf>
    <xf numFmtId="2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2" fontId="6" fillId="0" borderId="0" xfId="0" applyNumberFormat="1" applyFont="1"/>
    <xf numFmtId="1" fontId="0" fillId="0" borderId="0" xfId="0" applyNumberFormat="1" applyAlignment="1">
      <alignment horizontal="left" vertical="center"/>
    </xf>
    <xf numFmtId="2" fontId="4" fillId="0" borderId="0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5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>
      <alignment horizontal="left"/>
    </xf>
    <xf numFmtId="2" fontId="0" fillId="0" borderId="1" xfId="0" applyNumberFormat="1" applyFont="1" applyBorder="1"/>
    <xf numFmtId="2" fontId="0" fillId="0" borderId="2" xfId="0" applyNumberFormat="1" applyFont="1" applyBorder="1"/>
    <xf numFmtId="2" fontId="0" fillId="0" borderId="3" xfId="0" applyNumberFormat="1" applyFont="1" applyBorder="1"/>
    <xf numFmtId="2" fontId="0" fillId="0" borderId="1" xfId="0" applyNumberFormat="1" applyFont="1" applyBorder="1" applyAlignment="1">
      <alignment horizontal="left"/>
    </xf>
    <xf numFmtId="2" fontId="0" fillId="0" borderId="2" xfId="0" applyNumberFormat="1" applyFont="1" applyBorder="1" applyAlignment="1">
      <alignment horizontal="left"/>
    </xf>
    <xf numFmtId="2" fontId="0" fillId="0" borderId="4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0" fillId="0" borderId="0" xfId="0" applyNumberFormat="1" applyFont="1" applyBorder="1"/>
    <xf numFmtId="2" fontId="0" fillId="0" borderId="5" xfId="0" applyNumberFormat="1" applyFont="1" applyBorder="1"/>
    <xf numFmtId="2" fontId="0" fillId="0" borderId="0" xfId="0" applyNumberFormat="1" applyFont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7" xfId="0" applyNumberFormat="1" applyFont="1" applyBorder="1"/>
    <xf numFmtId="2" fontId="0" fillId="0" borderId="8" xfId="0" applyNumberFormat="1" applyFont="1" applyBorder="1"/>
    <xf numFmtId="10" fontId="0" fillId="0" borderId="11" xfId="0" applyNumberFormat="1" applyFont="1" applyBorder="1" applyAlignment="1">
      <alignment horizontal="center"/>
    </xf>
    <xf numFmtId="10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left"/>
    </xf>
    <xf numFmtId="2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 wrapText="1"/>
    </xf>
    <xf numFmtId="164" fontId="0" fillId="0" borderId="8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2" fontId="0" fillId="0" borderId="14" xfId="0" applyNumberFormat="1" applyFont="1" applyBorder="1"/>
    <xf numFmtId="2" fontId="0" fillId="2" borderId="14" xfId="0" applyNumberFormat="1" applyFont="1" applyFill="1" applyBorder="1"/>
    <xf numFmtId="2" fontId="0" fillId="0" borderId="10" xfId="0" applyNumberFormat="1" applyFont="1" applyBorder="1" applyAlignment="1">
      <alignment horizontal="center"/>
    </xf>
    <xf numFmtId="2" fontId="0" fillId="2" borderId="10" xfId="0" applyNumberFormat="1" applyFont="1" applyFill="1" applyBorder="1"/>
    <xf numFmtId="2" fontId="0" fillId="0" borderId="4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10" fontId="0" fillId="0" borderId="0" xfId="0" applyNumberFormat="1" applyFont="1" applyAlignment="1">
      <alignment horizontal="center"/>
    </xf>
    <xf numFmtId="2" fontId="0" fillId="0" borderId="15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2" fontId="0" fillId="2" borderId="14" xfId="0" applyNumberFormat="1" applyFont="1" applyFill="1" applyBorder="1" applyAlignment="1">
      <alignment horizontal="left"/>
    </xf>
    <xf numFmtId="2" fontId="0" fillId="2" borderId="14" xfId="0" applyNumberFormat="1" applyFont="1" applyFill="1" applyBorder="1" applyAlignment="1">
      <alignment horizontal="center"/>
    </xf>
    <xf numFmtId="2" fontId="0" fillId="2" borderId="16" xfId="0" applyNumberFormat="1" applyFont="1" applyFill="1" applyBorder="1" applyAlignment="1">
      <alignment horizontal="left"/>
    </xf>
    <xf numFmtId="164" fontId="0" fillId="0" borderId="14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left"/>
    </xf>
    <xf numFmtId="2" fontId="0" fillId="0" borderId="7" xfId="0" applyNumberFormat="1" applyFont="1" applyBorder="1" applyAlignment="1">
      <alignment horizontal="left"/>
    </xf>
    <xf numFmtId="2" fontId="0" fillId="0" borderId="11" xfId="0" applyNumberFormat="1" applyFont="1" applyBorder="1" applyAlignment="1">
      <alignment horizontal="center" wrapText="1"/>
    </xf>
    <xf numFmtId="2" fontId="0" fillId="0" borderId="11" xfId="0" applyNumberFormat="1" applyFont="1" applyBorder="1"/>
    <xf numFmtId="1" fontId="0" fillId="0" borderId="12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1" fontId="0" fillId="0" borderId="13" xfId="0" applyNumberFormat="1" applyFont="1" applyBorder="1" applyAlignment="1">
      <alignment horizontal="center"/>
    </xf>
    <xf numFmtId="2" fontId="0" fillId="0" borderId="10" xfId="0" applyNumberFormat="1" applyFont="1" applyBorder="1"/>
    <xf numFmtId="1" fontId="0" fillId="0" borderId="2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2" fontId="16" fillId="0" borderId="14" xfId="0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right"/>
    </xf>
    <xf numFmtId="2" fontId="0" fillId="2" borderId="16" xfId="0" applyNumberFormat="1" applyFont="1" applyFill="1" applyBorder="1" applyAlignment="1">
      <alignment horizontal="center"/>
    </xf>
    <xf numFmtId="2" fontId="0" fillId="0" borderId="16" xfId="0" applyNumberFormat="1" applyFont="1" applyBorder="1" applyAlignment="1">
      <alignment horizontal="right"/>
    </xf>
    <xf numFmtId="2" fontId="0" fillId="0" borderId="16" xfId="0" applyNumberFormat="1" applyFont="1" applyBorder="1" applyAlignment="1">
      <alignment horizontal="left"/>
    </xf>
    <xf numFmtId="2" fontId="0" fillId="0" borderId="16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2" fontId="0" fillId="0" borderId="0" xfId="0" applyNumberFormat="1" applyFont="1" applyBorder="1" applyAlignment="1">
      <alignment horizontal="center" wrapText="1"/>
    </xf>
    <xf numFmtId="2" fontId="18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/>
    <xf numFmtId="2" fontId="20" fillId="0" borderId="0" xfId="0" applyNumberFormat="1" applyFont="1" applyAlignment="1">
      <alignment horizontal="left"/>
    </xf>
  </cellXfs>
  <cellStyles count="4">
    <cellStyle name="Normaali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87"/>
  <sheetViews>
    <sheetView tabSelected="1" zoomScale="90" zoomScaleNormal="90" workbookViewId="0">
      <selection activeCell="B131" sqref="B131"/>
    </sheetView>
  </sheetViews>
  <sheetFormatPr defaultColWidth="8.7109375" defaultRowHeight="15" x14ac:dyDescent="0.25"/>
  <cols>
    <col min="1" max="1" width="19.42578125" style="2" customWidth="1"/>
    <col min="2" max="4" width="8.85546875" style="2" bestFit="1" customWidth="1"/>
    <col min="5" max="5" width="9.85546875" style="2" customWidth="1"/>
    <col min="6" max="6" width="8.85546875" style="2" bestFit="1" customWidth="1"/>
    <col min="7" max="7" width="10.5703125" style="4" customWidth="1"/>
    <col min="8" max="10" width="8.85546875" style="2" bestFit="1" customWidth="1"/>
    <col min="11" max="11" width="7.42578125" style="2" bestFit="1" customWidth="1"/>
    <col min="12" max="12" width="8.28515625" style="2" bestFit="1" customWidth="1"/>
    <col min="13" max="13" width="7.42578125" style="2" bestFit="1" customWidth="1"/>
    <col min="14" max="14" width="9.140625" style="2" customWidth="1"/>
    <col min="15" max="15" width="9.42578125" style="2" bestFit="1" customWidth="1"/>
    <col min="16" max="16" width="12.85546875" style="2" customWidth="1"/>
    <col min="17" max="18" width="10.140625" style="2" bestFit="1" customWidth="1"/>
    <col min="19" max="26" width="8.85546875" style="2" bestFit="1" customWidth="1"/>
    <col min="27" max="27" width="8.7109375" style="2"/>
    <col min="28" max="87" width="8.85546875" style="2" bestFit="1" customWidth="1"/>
    <col min="88" max="16384" width="8.7109375" style="2"/>
  </cols>
  <sheetData>
    <row r="1" spans="1:66" x14ac:dyDescent="0.25">
      <c r="A1" s="2" t="s">
        <v>137</v>
      </c>
    </row>
    <row r="3" spans="1:66" s="165" customFormat="1" ht="15.75" x14ac:dyDescent="0.25">
      <c r="A3" s="164" t="s">
        <v>125</v>
      </c>
      <c r="G3" s="166"/>
    </row>
    <row r="4" spans="1:66" s="165" customFormat="1" ht="15.75" x14ac:dyDescent="0.25">
      <c r="A4" s="164"/>
      <c r="G4" s="166"/>
    </row>
    <row r="5" spans="1:66" s="165" customFormat="1" ht="15.75" x14ac:dyDescent="0.25">
      <c r="A5" s="164" t="s">
        <v>124</v>
      </c>
      <c r="D5" s="167"/>
    </row>
    <row r="6" spans="1:66" x14ac:dyDescent="0.25">
      <c r="A6" s="1"/>
      <c r="D6" s="3"/>
      <c r="G6" s="2"/>
    </row>
    <row r="7" spans="1:66" s="83" customFormat="1" ht="18.75" x14ac:dyDescent="0.3">
      <c r="A7" s="82" t="s">
        <v>134</v>
      </c>
    </row>
    <row r="8" spans="1:66" s="83" customFormat="1" x14ac:dyDescent="0.25"/>
    <row r="9" spans="1:66" s="83" customFormat="1" x14ac:dyDescent="0.25">
      <c r="A9" s="83" t="s">
        <v>0</v>
      </c>
      <c r="B9" s="83" t="s">
        <v>1</v>
      </c>
      <c r="C9" s="84"/>
    </row>
    <row r="10" spans="1:66" s="83" customFormat="1" ht="15.75" thickBot="1" x14ac:dyDescent="0.3">
      <c r="A10" s="85"/>
      <c r="B10" s="106" t="s">
        <v>2</v>
      </c>
      <c r="C10" s="107" t="s">
        <v>3</v>
      </c>
      <c r="D10" s="107" t="s">
        <v>4</v>
      </c>
      <c r="E10" s="107" t="s">
        <v>5</v>
      </c>
      <c r="F10" s="107" t="s">
        <v>6</v>
      </c>
      <c r="G10" s="107" t="s">
        <v>7</v>
      </c>
      <c r="H10" s="107" t="s">
        <v>8</v>
      </c>
      <c r="I10" s="107" t="s">
        <v>9</v>
      </c>
      <c r="J10" s="109" t="s">
        <v>10</v>
      </c>
      <c r="P10" s="85"/>
      <c r="Q10" s="86"/>
      <c r="R10" s="88" t="s">
        <v>3</v>
      </c>
      <c r="S10" s="89"/>
      <c r="T10" s="86"/>
      <c r="U10" s="86"/>
      <c r="V10" s="86"/>
      <c r="W10" s="86"/>
      <c r="X10" s="6" t="s">
        <v>11</v>
      </c>
      <c r="Y10" s="89"/>
      <c r="Z10" s="86"/>
      <c r="AA10" s="86"/>
      <c r="AB10" s="86"/>
      <c r="AC10" s="86"/>
      <c r="AD10" s="6" t="s">
        <v>12</v>
      </c>
      <c r="AE10" s="89"/>
      <c r="AF10" s="86"/>
      <c r="AG10" s="86"/>
      <c r="AH10" s="86"/>
      <c r="AI10" s="86"/>
      <c r="AJ10" s="6" t="s">
        <v>13</v>
      </c>
      <c r="AK10" s="89"/>
      <c r="AL10" s="86"/>
      <c r="AM10" s="86"/>
      <c r="AN10" s="86"/>
      <c r="AO10" s="86"/>
      <c r="AP10" s="86"/>
      <c r="AQ10" s="6" t="s">
        <v>14</v>
      </c>
      <c r="AR10" s="89"/>
      <c r="AS10" s="86"/>
      <c r="AT10" s="86"/>
      <c r="AU10" s="86"/>
      <c r="AV10" s="86"/>
      <c r="AW10" s="6" t="s">
        <v>15</v>
      </c>
      <c r="AX10" s="89"/>
      <c r="AY10" s="86"/>
      <c r="AZ10" s="86"/>
      <c r="BA10" s="86"/>
      <c r="BB10" s="86"/>
      <c r="BC10" s="6" t="s">
        <v>9</v>
      </c>
      <c r="BD10" s="89"/>
      <c r="BE10" s="86"/>
      <c r="BF10" s="86"/>
      <c r="BG10" s="86"/>
      <c r="BH10" s="86"/>
      <c r="BI10" s="6" t="s">
        <v>16</v>
      </c>
      <c r="BJ10" s="89"/>
      <c r="BK10" s="86"/>
      <c r="BL10" s="86"/>
      <c r="BM10" s="86"/>
      <c r="BN10" s="87"/>
    </row>
    <row r="11" spans="1:66" s="83" customFormat="1" ht="18" x14ac:dyDescent="0.35">
      <c r="A11" s="90" t="s">
        <v>111</v>
      </c>
      <c r="B11" s="91">
        <f t="shared" ref="B11:B20" si="0">Q14</f>
        <v>72.853110923135944</v>
      </c>
      <c r="C11" s="92">
        <v>73.410821789076124</v>
      </c>
      <c r="D11" s="92">
        <v>74.017029252054627</v>
      </c>
      <c r="E11" s="92">
        <v>74.675950407466019</v>
      </c>
      <c r="F11" s="92">
        <v>75.3921690546523</v>
      </c>
      <c r="G11" s="92">
        <v>76.170667584202633</v>
      </c>
      <c r="H11" s="92">
        <v>77.097451547953014</v>
      </c>
      <c r="I11" s="92">
        <v>78.219347925124509</v>
      </c>
      <c r="J11" s="93">
        <v>79.605219920454019</v>
      </c>
      <c r="P11" s="94"/>
      <c r="Q11" s="95"/>
      <c r="R11" s="8">
        <f>SUM(R12:S12,T12)</f>
        <v>0.08</v>
      </c>
      <c r="S11" s="95" t="s">
        <v>17</v>
      </c>
      <c r="T11" s="80"/>
      <c r="U11" s="95"/>
      <c r="V11" s="95"/>
      <c r="W11" s="95"/>
      <c r="X11" s="8">
        <f>SUM(X12:Y12,Z12)</f>
        <v>0.08</v>
      </c>
      <c r="Y11" s="95" t="s">
        <v>17</v>
      </c>
      <c r="Z11" s="80"/>
      <c r="AA11" s="95"/>
      <c r="AB11" s="95"/>
      <c r="AC11" s="95"/>
      <c r="AD11" s="8">
        <f>SUM(AD12:AE12,AF12)</f>
        <v>0.08</v>
      </c>
      <c r="AE11" s="95" t="s">
        <v>17</v>
      </c>
      <c r="AF11" s="80"/>
      <c r="AG11" s="95"/>
      <c r="AH11" s="95"/>
      <c r="AI11" s="95"/>
      <c r="AJ11" s="8">
        <f>SUM(AJ12:AK12,AL12)</f>
        <v>0.08</v>
      </c>
      <c r="AK11" s="95" t="s">
        <v>17</v>
      </c>
      <c r="AL11" s="80"/>
      <c r="AM11" s="95"/>
      <c r="AN11" s="95"/>
      <c r="AO11" s="95"/>
      <c r="AP11" s="95"/>
      <c r="AQ11" s="8">
        <f>SUM(AQ12:AR12,AS12)</f>
        <v>0.08</v>
      </c>
      <c r="AR11" s="95" t="s">
        <v>17</v>
      </c>
      <c r="AS11" s="80"/>
      <c r="AT11" s="95"/>
      <c r="AU11" s="95"/>
      <c r="AV11" s="95"/>
      <c r="AW11" s="8">
        <f>SUM(AW12:AX12,AY12)</f>
        <v>0.08</v>
      </c>
      <c r="AX11" s="95" t="s">
        <v>17</v>
      </c>
      <c r="AY11" s="80"/>
      <c r="AZ11" s="95"/>
      <c r="BA11" s="95"/>
      <c r="BB11" s="95"/>
      <c r="BC11" s="8">
        <f>SUM(BC12:BD12,BE12)</f>
        <v>0.08</v>
      </c>
      <c r="BD11" s="95" t="s">
        <v>17</v>
      </c>
      <c r="BE11" s="80"/>
      <c r="BF11" s="95"/>
      <c r="BG11" s="95"/>
      <c r="BH11" s="95"/>
      <c r="BI11" s="8">
        <f>SUM(BI12:BJ12,BK12)</f>
        <v>0.08</v>
      </c>
      <c r="BJ11" s="95" t="s">
        <v>17</v>
      </c>
      <c r="BK11" s="80"/>
      <c r="BL11" s="95"/>
      <c r="BM11" s="95"/>
      <c r="BN11" s="96"/>
    </row>
    <row r="12" spans="1:66" s="83" customFormat="1" ht="18" x14ac:dyDescent="0.35">
      <c r="A12" s="90" t="s">
        <v>112</v>
      </c>
      <c r="B12" s="90">
        <f t="shared" si="0"/>
        <v>0.36041566006498538</v>
      </c>
      <c r="C12" s="97">
        <v>0.39175615224454924</v>
      </c>
      <c r="D12" s="97">
        <v>0.42582190461364061</v>
      </c>
      <c r="E12" s="97">
        <v>0.46284989631917461</v>
      </c>
      <c r="F12" s="97">
        <v>0.5030977133904071</v>
      </c>
      <c r="G12" s="97">
        <v>0.54684534064174695</v>
      </c>
      <c r="H12" s="97">
        <v>0.59892584927429426</v>
      </c>
      <c r="I12" s="97">
        <v>0.66197067551369349</v>
      </c>
      <c r="J12" s="98">
        <v>0.73984957851530442</v>
      </c>
      <c r="P12" s="99"/>
      <c r="Q12" s="100" t="s">
        <v>18</v>
      </c>
      <c r="R12" s="101">
        <v>0.04</v>
      </c>
      <c r="S12" s="102">
        <v>0.04</v>
      </c>
      <c r="T12" s="103"/>
      <c r="U12" s="103" t="s">
        <v>19</v>
      </c>
      <c r="V12" s="63" t="s">
        <v>20</v>
      </c>
      <c r="W12" s="104" t="s">
        <v>21</v>
      </c>
      <c r="X12" s="101">
        <v>0.04</v>
      </c>
      <c r="Y12" s="102">
        <v>0.04</v>
      </c>
      <c r="Z12" s="103"/>
      <c r="AA12" s="103" t="s">
        <v>19</v>
      </c>
      <c r="AB12" s="63" t="s">
        <v>20</v>
      </c>
      <c r="AC12" s="104" t="s">
        <v>21</v>
      </c>
      <c r="AD12" s="101">
        <v>0.04</v>
      </c>
      <c r="AE12" s="102">
        <v>0.04</v>
      </c>
      <c r="AF12" s="102"/>
      <c r="AG12" s="103" t="s">
        <v>19</v>
      </c>
      <c r="AH12" s="63" t="s">
        <v>20</v>
      </c>
      <c r="AI12" s="104" t="s">
        <v>21</v>
      </c>
      <c r="AJ12" s="101">
        <v>0.04</v>
      </c>
      <c r="AK12" s="102">
        <v>0.04</v>
      </c>
      <c r="AL12" s="103"/>
      <c r="AM12" s="103" t="s">
        <v>19</v>
      </c>
      <c r="AN12" s="63" t="s">
        <v>20</v>
      </c>
      <c r="AO12" s="104" t="s">
        <v>21</v>
      </c>
      <c r="AP12" s="100"/>
      <c r="AQ12" s="101">
        <v>0.04</v>
      </c>
      <c r="AR12" s="102">
        <v>0.04</v>
      </c>
      <c r="AS12" s="103"/>
      <c r="AT12" s="103" t="s">
        <v>19</v>
      </c>
      <c r="AU12" s="63" t="s">
        <v>20</v>
      </c>
      <c r="AV12" s="104" t="s">
        <v>21</v>
      </c>
      <c r="AW12" s="101">
        <v>0.04</v>
      </c>
      <c r="AX12" s="102">
        <v>0.04</v>
      </c>
      <c r="AY12" s="103"/>
      <c r="AZ12" s="103" t="s">
        <v>19</v>
      </c>
      <c r="BA12" s="63" t="s">
        <v>20</v>
      </c>
      <c r="BB12" s="104" t="s">
        <v>21</v>
      </c>
      <c r="BC12" s="101">
        <v>0.04</v>
      </c>
      <c r="BD12" s="102">
        <v>0.04</v>
      </c>
      <c r="BE12" s="103"/>
      <c r="BF12" s="103" t="s">
        <v>19</v>
      </c>
      <c r="BG12" s="63" t="s">
        <v>20</v>
      </c>
      <c r="BH12" s="104" t="s">
        <v>21</v>
      </c>
      <c r="BI12" s="101">
        <v>0.04</v>
      </c>
      <c r="BJ12" s="102">
        <v>0.04</v>
      </c>
      <c r="BK12" s="103"/>
      <c r="BL12" s="103" t="s">
        <v>19</v>
      </c>
      <c r="BM12" s="63" t="s">
        <v>20</v>
      </c>
      <c r="BN12" s="104" t="s">
        <v>21</v>
      </c>
    </row>
    <row r="13" spans="1:66" s="83" customFormat="1" ht="18" x14ac:dyDescent="0.35">
      <c r="A13" s="90" t="s">
        <v>113</v>
      </c>
      <c r="B13" s="90">
        <f t="shared" si="0"/>
        <v>11.375056405926856</v>
      </c>
      <c r="C13" s="97">
        <v>10.673317829452794</v>
      </c>
      <c r="D13" s="97">
        <v>9.9105585071983828</v>
      </c>
      <c r="E13" s="97">
        <v>9.0814722873566289</v>
      </c>
      <c r="F13" s="97">
        <v>8.1802916136155908</v>
      </c>
      <c r="G13" s="97">
        <v>7.200747403027508</v>
      </c>
      <c r="H13" s="97">
        <v>6.0346233428035987</v>
      </c>
      <c r="I13" s="97">
        <v>4.6229994804272865</v>
      </c>
      <c r="J13" s="98">
        <v>2.8792288269036086</v>
      </c>
      <c r="P13" s="90" t="s">
        <v>22</v>
      </c>
      <c r="Q13" s="83" t="s">
        <v>23</v>
      </c>
      <c r="R13" s="90" t="s">
        <v>24</v>
      </c>
      <c r="S13" s="105" t="s">
        <v>25</v>
      </c>
      <c r="T13" s="77"/>
      <c r="U13" s="105" t="s">
        <v>26</v>
      </c>
      <c r="V13" s="77" t="s">
        <v>27</v>
      </c>
      <c r="W13" s="98" t="s">
        <v>23</v>
      </c>
      <c r="X13" s="90" t="s">
        <v>24</v>
      </c>
      <c r="Y13" s="105" t="s">
        <v>25</v>
      </c>
      <c r="Z13" s="77"/>
      <c r="AA13" s="105" t="s">
        <v>26</v>
      </c>
      <c r="AB13" s="77" t="s">
        <v>27</v>
      </c>
      <c r="AC13" s="98" t="s">
        <v>23</v>
      </c>
      <c r="AD13" s="90" t="s">
        <v>24</v>
      </c>
      <c r="AE13" s="105" t="s">
        <v>25</v>
      </c>
      <c r="AF13" s="77"/>
      <c r="AG13" s="105" t="s">
        <v>26</v>
      </c>
      <c r="AH13" s="77" t="s">
        <v>27</v>
      </c>
      <c r="AI13" s="98" t="s">
        <v>23</v>
      </c>
      <c r="AJ13" s="90" t="s">
        <v>24</v>
      </c>
      <c r="AK13" s="105" t="s">
        <v>25</v>
      </c>
      <c r="AL13" s="77"/>
      <c r="AM13" s="105" t="s">
        <v>26</v>
      </c>
      <c r="AN13" s="77" t="s">
        <v>27</v>
      </c>
      <c r="AO13" s="98" t="s">
        <v>23</v>
      </c>
      <c r="AP13" s="105" t="s">
        <v>28</v>
      </c>
      <c r="AQ13" s="90" t="s">
        <v>24</v>
      </c>
      <c r="AR13" s="105" t="s">
        <v>25</v>
      </c>
      <c r="AS13" s="77"/>
      <c r="AT13" s="105" t="s">
        <v>26</v>
      </c>
      <c r="AU13" s="77" t="s">
        <v>27</v>
      </c>
      <c r="AV13" s="98" t="s">
        <v>23</v>
      </c>
      <c r="AW13" s="90" t="s">
        <v>24</v>
      </c>
      <c r="AX13" s="105" t="s">
        <v>25</v>
      </c>
      <c r="AY13" s="77"/>
      <c r="AZ13" s="105" t="s">
        <v>26</v>
      </c>
      <c r="BA13" s="77" t="s">
        <v>27</v>
      </c>
      <c r="BB13" s="98" t="s">
        <v>23</v>
      </c>
      <c r="BC13" s="90" t="s">
        <v>24</v>
      </c>
      <c r="BD13" s="105" t="s">
        <v>25</v>
      </c>
      <c r="BE13" s="77"/>
      <c r="BF13" s="105" t="s">
        <v>26</v>
      </c>
      <c r="BG13" s="77" t="s">
        <v>27</v>
      </c>
      <c r="BH13" s="98" t="s">
        <v>23</v>
      </c>
      <c r="BI13" s="90" t="s">
        <v>24</v>
      </c>
      <c r="BJ13" s="105" t="s">
        <v>25</v>
      </c>
      <c r="BK13" s="77"/>
      <c r="BL13" s="105" t="s">
        <v>26</v>
      </c>
      <c r="BM13" s="77" t="s">
        <v>27</v>
      </c>
      <c r="BN13" s="98" t="s">
        <v>23</v>
      </c>
    </row>
    <row r="14" spans="1:66" s="83" customFormat="1" ht="18" x14ac:dyDescent="0.35">
      <c r="A14" s="90" t="s">
        <v>114</v>
      </c>
      <c r="B14" s="90">
        <f t="shared" si="0"/>
        <v>5.1647880572785434</v>
      </c>
      <c r="C14" s="97">
        <v>5.613900062259285</v>
      </c>
      <c r="D14" s="97">
        <v>6.1020652850644419</v>
      </c>
      <c r="E14" s="97">
        <v>6.6326796576787412</v>
      </c>
      <c r="F14" s="97">
        <v>7.2094344105203696</v>
      </c>
      <c r="G14" s="97">
        <v>7.8363417505656203</v>
      </c>
      <c r="H14" s="97">
        <v>8.5826600125242507</v>
      </c>
      <c r="I14" s="97">
        <v>9.4860979085794348</v>
      </c>
      <c r="J14" s="98">
        <v>10.602109427235835</v>
      </c>
      <c r="P14" s="106" t="s">
        <v>29</v>
      </c>
      <c r="Q14" s="86">
        <v>72.853110923135944</v>
      </c>
      <c r="R14" s="106">
        <v>64.760000000000005</v>
      </c>
      <c r="S14" s="86">
        <v>68.118871929647213</v>
      </c>
      <c r="T14" s="107"/>
      <c r="U14" s="107">
        <f t="shared" ref="U14:U23" si="1">(S14*$S$12)+(R14*$R$12)</f>
        <v>5.315154877185889</v>
      </c>
      <c r="V14" s="78">
        <f t="shared" ref="V14:V23" si="2">Q14-U14</f>
        <v>67.537956045950054</v>
      </c>
      <c r="W14" s="78">
        <f>V14/$V$24*100</f>
        <v>73.410821789076124</v>
      </c>
      <c r="X14" s="106">
        <v>64.760000000000005</v>
      </c>
      <c r="Y14" s="86">
        <v>68.118871929647213</v>
      </c>
      <c r="Z14" s="107"/>
      <c r="AA14" s="107">
        <f t="shared" ref="AA14:AA23" si="3">(X14*$X$12)+(Y14*$Y$12)</f>
        <v>5.315154877185889</v>
      </c>
      <c r="AB14" s="78">
        <f t="shared" ref="AB14:AB23" si="4">W14-AA14</f>
        <v>68.095666911890234</v>
      </c>
      <c r="AC14" s="78">
        <f>AB14/$AB$24*100</f>
        <v>74.017029252054627</v>
      </c>
      <c r="AD14" s="106">
        <v>64.760000000000005</v>
      </c>
      <c r="AE14" s="86">
        <v>68.118871929647213</v>
      </c>
      <c r="AF14" s="107"/>
      <c r="AG14" s="107">
        <f t="shared" ref="AG14:AG23" si="5">(AD14*$AD$12)+(AE14*$AE$12)</f>
        <v>5.315154877185889</v>
      </c>
      <c r="AH14" s="78">
        <f t="shared" ref="AH14:AH23" si="6">AC14-AG14</f>
        <v>68.701874374868737</v>
      </c>
      <c r="AI14" s="78">
        <f>AH14/$AH$24*100</f>
        <v>74.675950407466019</v>
      </c>
      <c r="AJ14" s="106">
        <v>64.760000000000005</v>
      </c>
      <c r="AK14" s="86">
        <v>68.118871929647213</v>
      </c>
      <c r="AL14" s="107"/>
      <c r="AM14" s="107">
        <f t="shared" ref="AM14:AM23" si="7">(AJ14*$AJ$12)+(AK14*$AJ$12)</f>
        <v>5.315154877185889</v>
      </c>
      <c r="AN14" s="78">
        <f t="shared" ref="AN14:AN23" si="8">AI14-AM14</f>
        <v>69.360795530280129</v>
      </c>
      <c r="AO14" s="78">
        <f>AN14/$AN$24*100</f>
        <v>75.3921690546523</v>
      </c>
      <c r="AP14" s="107" t="s">
        <v>29</v>
      </c>
      <c r="AQ14" s="106">
        <v>64.760000000000005</v>
      </c>
      <c r="AR14" s="86">
        <v>68.118871929647213</v>
      </c>
      <c r="AS14" s="107"/>
      <c r="AT14" s="107">
        <f t="shared" ref="AT14:AT23" si="9">(AQ14*$AQ$12)+(AR14*$AQ$12)</f>
        <v>5.315154877185889</v>
      </c>
      <c r="AU14" s="78">
        <f t="shared" ref="AU14:AU23" si="10">AO14-AT14</f>
        <v>70.07701417746641</v>
      </c>
      <c r="AV14" s="78">
        <f>AU14/$AU$24*100</f>
        <v>76.170667584202633</v>
      </c>
      <c r="AW14" s="106">
        <v>64.760000000000005</v>
      </c>
      <c r="AX14" s="86">
        <v>68.118871929647213</v>
      </c>
      <c r="AY14" s="107"/>
      <c r="AZ14" s="107">
        <f t="shared" ref="AZ14:AZ23" si="11">(AW14*$AW$12)+(AX14*$AW$12)</f>
        <v>5.315154877185889</v>
      </c>
      <c r="BA14" s="78">
        <f t="shared" ref="BA14:BA23" si="12">AU14-AZ14</f>
        <v>64.76185930028052</v>
      </c>
      <c r="BB14" s="78">
        <f>BA14/$BA$24*100</f>
        <v>77.097451547953014</v>
      </c>
      <c r="BC14" s="106">
        <v>64.760000000000005</v>
      </c>
      <c r="BD14" s="86">
        <v>68.118871929647213</v>
      </c>
      <c r="BE14" s="107"/>
      <c r="BF14" s="107">
        <f t="shared" ref="BF14:BF23" si="13">(BC14*$BC$12)+(BD14*$BD$12)</f>
        <v>5.315154877185889</v>
      </c>
      <c r="BG14" s="78">
        <f t="shared" ref="BG14:BG23" si="14">BA14-BF14</f>
        <v>59.44670442309463</v>
      </c>
      <c r="BH14" s="78">
        <f>BG14/$BG$24*100</f>
        <v>78.219347925124509</v>
      </c>
      <c r="BI14" s="106">
        <v>64.760000000000005</v>
      </c>
      <c r="BJ14" s="86">
        <v>68.118871929647213</v>
      </c>
      <c r="BK14" s="107"/>
      <c r="BL14" s="107">
        <f t="shared" ref="BL14:BL23" si="15">(BI14*$BI$12)+(BJ14*$BJ$12)</f>
        <v>5.315154877185889</v>
      </c>
      <c r="BM14" s="78">
        <f t="shared" ref="BM14:BM23" si="16">BG14-BL14</f>
        <v>54.13154954590874</v>
      </c>
      <c r="BN14" s="79">
        <f>BM14/$BM$24*100</f>
        <v>79.605219920454019</v>
      </c>
    </row>
    <row r="15" spans="1:66" s="83" customFormat="1" ht="18" x14ac:dyDescent="0.35">
      <c r="A15" s="90" t="s">
        <v>30</v>
      </c>
      <c r="B15" s="90">
        <f t="shared" si="0"/>
        <v>0.11276523431310569</v>
      </c>
      <c r="C15" s="97">
        <v>0.12257090686207139</v>
      </c>
      <c r="D15" s="97">
        <v>0.13322924658920809</v>
      </c>
      <c r="E15" s="97">
        <v>0.14481439846653052</v>
      </c>
      <c r="F15" s="97">
        <v>0.15740695485492445</v>
      </c>
      <c r="G15" s="97">
        <v>0.17109451614665702</v>
      </c>
      <c r="H15" s="97">
        <v>0.1873892319701482</v>
      </c>
      <c r="I15" s="97">
        <v>0.20711441428279534</v>
      </c>
      <c r="J15" s="98">
        <v>0.23148081596312417</v>
      </c>
      <c r="P15" s="90" t="s">
        <v>31</v>
      </c>
      <c r="Q15" s="95">
        <v>0.36041566006498538</v>
      </c>
      <c r="R15" s="90"/>
      <c r="S15" s="95"/>
      <c r="T15" s="105"/>
      <c r="U15" s="105">
        <f t="shared" si="1"/>
        <v>0</v>
      </c>
      <c r="V15" s="80">
        <f t="shared" si="2"/>
        <v>0.36041566006498538</v>
      </c>
      <c r="W15" s="80">
        <f t="shared" ref="W15:W23" si="17">V15/$V$24*100</f>
        <v>0.39175615224454924</v>
      </c>
      <c r="X15" s="90"/>
      <c r="Y15" s="95"/>
      <c r="Z15" s="105"/>
      <c r="AA15" s="105">
        <f t="shared" si="3"/>
        <v>0</v>
      </c>
      <c r="AB15" s="80">
        <f t="shared" si="4"/>
        <v>0.39175615224454924</v>
      </c>
      <c r="AC15" s="80">
        <f t="shared" ref="AC15:AC23" si="18">AB15/$AB$24*100</f>
        <v>0.42582190461364061</v>
      </c>
      <c r="AD15" s="90"/>
      <c r="AE15" s="95"/>
      <c r="AF15" s="105"/>
      <c r="AG15" s="105">
        <f t="shared" si="5"/>
        <v>0</v>
      </c>
      <c r="AH15" s="80">
        <f t="shared" si="6"/>
        <v>0.42582190461364061</v>
      </c>
      <c r="AI15" s="80">
        <f t="shared" ref="AI15:AI23" si="19">AH15/$AH$24*100</f>
        <v>0.46284989631917461</v>
      </c>
      <c r="AJ15" s="90"/>
      <c r="AK15" s="95"/>
      <c r="AL15" s="105"/>
      <c r="AM15" s="105">
        <f t="shared" si="7"/>
        <v>0</v>
      </c>
      <c r="AN15" s="80">
        <f t="shared" si="8"/>
        <v>0.46284989631917461</v>
      </c>
      <c r="AO15" s="80">
        <f t="shared" ref="AO15:AO23" si="20">AN15/$AN$24*100</f>
        <v>0.5030977133904071</v>
      </c>
      <c r="AP15" s="105" t="s">
        <v>31</v>
      </c>
      <c r="AQ15" s="90"/>
      <c r="AR15" s="95"/>
      <c r="AS15" s="105"/>
      <c r="AT15" s="105">
        <f t="shared" si="9"/>
        <v>0</v>
      </c>
      <c r="AU15" s="80">
        <f t="shared" si="10"/>
        <v>0.5030977133904071</v>
      </c>
      <c r="AV15" s="80">
        <f t="shared" ref="AV15:AV23" si="21">AU15/$AU$24*100</f>
        <v>0.54684534064174695</v>
      </c>
      <c r="AW15" s="90"/>
      <c r="AX15" s="95"/>
      <c r="AY15" s="105"/>
      <c r="AZ15" s="105">
        <f t="shared" si="11"/>
        <v>0</v>
      </c>
      <c r="BA15" s="80">
        <f t="shared" si="12"/>
        <v>0.5030977133904071</v>
      </c>
      <c r="BB15" s="80">
        <f t="shared" ref="BB15:BB23" si="22">BA15/$BA$24*100</f>
        <v>0.59892584927429426</v>
      </c>
      <c r="BC15" s="90"/>
      <c r="BD15" s="95"/>
      <c r="BE15" s="105"/>
      <c r="BF15" s="105">
        <f t="shared" si="13"/>
        <v>0</v>
      </c>
      <c r="BG15" s="80">
        <f t="shared" si="14"/>
        <v>0.5030977133904071</v>
      </c>
      <c r="BH15" s="80">
        <f t="shared" ref="BH15:BH23" si="23">BG15/$BG$24*100</f>
        <v>0.66197067551369349</v>
      </c>
      <c r="BI15" s="90"/>
      <c r="BJ15" s="95"/>
      <c r="BK15" s="105"/>
      <c r="BL15" s="105">
        <f t="shared" si="15"/>
        <v>0</v>
      </c>
      <c r="BM15" s="80">
        <f t="shared" si="16"/>
        <v>0.5030977133904071</v>
      </c>
      <c r="BN15" s="18">
        <f t="shared" ref="BN15:BN23" si="24">BM15/$BM$24*100</f>
        <v>0.73984957851530442</v>
      </c>
    </row>
    <row r="16" spans="1:66" s="83" customFormat="1" ht="18" x14ac:dyDescent="0.35">
      <c r="A16" s="90" t="s">
        <v>32</v>
      </c>
      <c r="B16" s="90">
        <f t="shared" si="0"/>
        <v>0.12766028321017062</v>
      </c>
      <c r="C16" s="97">
        <v>0.13876117740235935</v>
      </c>
      <c r="D16" s="97">
        <v>0.150827366741695</v>
      </c>
      <c r="E16" s="97">
        <v>0.16394278993662501</v>
      </c>
      <c r="F16" s="97">
        <v>0.17819868471372283</v>
      </c>
      <c r="G16" s="97">
        <v>0.19369422251491616</v>
      </c>
      <c r="H16" s="97">
        <v>0.21214129132586054</v>
      </c>
      <c r="I16" s="97">
        <v>0.23447195357068792</v>
      </c>
      <c r="J16" s="98">
        <v>0.26205688928488646</v>
      </c>
      <c r="P16" s="90" t="s">
        <v>126</v>
      </c>
      <c r="Q16" s="95">
        <v>11.375056405926856</v>
      </c>
      <c r="R16" s="90">
        <v>18.32</v>
      </c>
      <c r="S16" s="95">
        <v>20.5701000707571</v>
      </c>
      <c r="T16" s="105"/>
      <c r="U16" s="105">
        <f t="shared" si="1"/>
        <v>1.555604002830284</v>
      </c>
      <c r="V16" s="80">
        <f t="shared" si="2"/>
        <v>9.8194524030965713</v>
      </c>
      <c r="W16" s="80">
        <f t="shared" si="17"/>
        <v>10.673317829452794</v>
      </c>
      <c r="X16" s="90">
        <v>18.32</v>
      </c>
      <c r="Y16" s="95">
        <v>20.5701000707571</v>
      </c>
      <c r="Z16" s="105"/>
      <c r="AA16" s="105">
        <f t="shared" si="3"/>
        <v>1.555604002830284</v>
      </c>
      <c r="AB16" s="80">
        <f t="shared" si="4"/>
        <v>9.1177138266225093</v>
      </c>
      <c r="AC16" s="80">
        <f t="shared" si="18"/>
        <v>9.9105585071983828</v>
      </c>
      <c r="AD16" s="90">
        <v>18.32</v>
      </c>
      <c r="AE16" s="95">
        <v>20.5701000707571</v>
      </c>
      <c r="AF16" s="105"/>
      <c r="AG16" s="105">
        <f t="shared" si="5"/>
        <v>1.555604002830284</v>
      </c>
      <c r="AH16" s="80">
        <f t="shared" si="6"/>
        <v>8.3549545043680986</v>
      </c>
      <c r="AI16" s="80">
        <f t="shared" si="19"/>
        <v>9.0814722873566289</v>
      </c>
      <c r="AJ16" s="90">
        <v>18.32</v>
      </c>
      <c r="AK16" s="95">
        <v>20.5701000707571</v>
      </c>
      <c r="AL16" s="105"/>
      <c r="AM16" s="105">
        <f t="shared" si="7"/>
        <v>1.555604002830284</v>
      </c>
      <c r="AN16" s="80">
        <f t="shared" si="8"/>
        <v>7.5258682845263447</v>
      </c>
      <c r="AO16" s="80">
        <f t="shared" si="20"/>
        <v>8.1802916136155908</v>
      </c>
      <c r="AP16" s="105" t="s">
        <v>126</v>
      </c>
      <c r="AQ16" s="90">
        <v>18.32</v>
      </c>
      <c r="AR16" s="95">
        <v>20.5701000707571</v>
      </c>
      <c r="AS16" s="105"/>
      <c r="AT16" s="105">
        <f t="shared" si="9"/>
        <v>1.555604002830284</v>
      </c>
      <c r="AU16" s="80">
        <f t="shared" si="10"/>
        <v>6.6246876107853065</v>
      </c>
      <c r="AV16" s="80">
        <f t="shared" si="21"/>
        <v>7.200747403027508</v>
      </c>
      <c r="AW16" s="90">
        <v>18.32</v>
      </c>
      <c r="AX16" s="95">
        <v>20.5701000707571</v>
      </c>
      <c r="AY16" s="105"/>
      <c r="AZ16" s="105">
        <f t="shared" si="11"/>
        <v>1.555604002830284</v>
      </c>
      <c r="BA16" s="80">
        <f t="shared" si="12"/>
        <v>5.0690836079550223</v>
      </c>
      <c r="BB16" s="80">
        <f t="shared" si="22"/>
        <v>6.0346233428035987</v>
      </c>
      <c r="BC16" s="90">
        <v>18.32</v>
      </c>
      <c r="BD16" s="95">
        <v>20.5701000707571</v>
      </c>
      <c r="BE16" s="105"/>
      <c r="BF16" s="105">
        <f t="shared" si="13"/>
        <v>1.555604002830284</v>
      </c>
      <c r="BG16" s="80">
        <f t="shared" si="14"/>
        <v>3.5134796051247381</v>
      </c>
      <c r="BH16" s="80">
        <f t="shared" si="23"/>
        <v>4.6229994804272865</v>
      </c>
      <c r="BI16" s="90">
        <v>18.32</v>
      </c>
      <c r="BJ16" s="95">
        <v>20.5701000707571</v>
      </c>
      <c r="BK16" s="105"/>
      <c r="BL16" s="105">
        <f t="shared" si="15"/>
        <v>1.555604002830284</v>
      </c>
      <c r="BM16" s="80">
        <f t="shared" si="16"/>
        <v>1.9578756022944541</v>
      </c>
      <c r="BN16" s="18">
        <f t="shared" si="24"/>
        <v>2.8792288269036086</v>
      </c>
    </row>
    <row r="17" spans="1:66" s="83" customFormat="1" x14ac:dyDescent="0.25">
      <c r="A17" s="90" t="s">
        <v>33</v>
      </c>
      <c r="B17" s="90">
        <f t="shared" si="0"/>
        <v>0.71878729847425993</v>
      </c>
      <c r="C17" s="97">
        <v>0.78129054181984758</v>
      </c>
      <c r="D17" s="97">
        <v>0.84922884980418234</v>
      </c>
      <c r="E17" s="97">
        <v>0.92307483674367641</v>
      </c>
      <c r="F17" s="97">
        <v>1.003342213851822</v>
      </c>
      <c r="G17" s="97">
        <v>1.0905893628824155</v>
      </c>
      <c r="H17" s="97">
        <v>1.1944550164902645</v>
      </c>
      <c r="I17" s="97">
        <v>1.3201871234892395</v>
      </c>
      <c r="J17" s="98">
        <v>1.4755032556644438</v>
      </c>
      <c r="P17" s="90" t="s">
        <v>34</v>
      </c>
      <c r="Q17" s="95">
        <v>5.1647880572785434</v>
      </c>
      <c r="R17" s="90"/>
      <c r="S17" s="95"/>
      <c r="T17" s="105"/>
      <c r="U17" s="105">
        <f t="shared" si="1"/>
        <v>0</v>
      </c>
      <c r="V17" s="80">
        <f t="shared" si="2"/>
        <v>5.1647880572785434</v>
      </c>
      <c r="W17" s="80">
        <f t="shared" si="17"/>
        <v>5.613900062259285</v>
      </c>
      <c r="X17" s="90"/>
      <c r="Y17" s="95"/>
      <c r="Z17" s="105"/>
      <c r="AA17" s="105">
        <f t="shared" si="3"/>
        <v>0</v>
      </c>
      <c r="AB17" s="80">
        <f t="shared" si="4"/>
        <v>5.613900062259285</v>
      </c>
      <c r="AC17" s="80">
        <f t="shared" si="18"/>
        <v>6.1020652850644419</v>
      </c>
      <c r="AD17" s="90"/>
      <c r="AE17" s="95"/>
      <c r="AF17" s="105"/>
      <c r="AG17" s="105">
        <f t="shared" si="5"/>
        <v>0</v>
      </c>
      <c r="AH17" s="80">
        <f t="shared" si="6"/>
        <v>6.1020652850644419</v>
      </c>
      <c r="AI17" s="80">
        <f t="shared" si="19"/>
        <v>6.6326796576787412</v>
      </c>
      <c r="AJ17" s="90"/>
      <c r="AK17" s="95"/>
      <c r="AL17" s="105"/>
      <c r="AM17" s="105">
        <f t="shared" si="7"/>
        <v>0</v>
      </c>
      <c r="AN17" s="80">
        <f t="shared" si="8"/>
        <v>6.6326796576787412</v>
      </c>
      <c r="AO17" s="80">
        <f t="shared" si="20"/>
        <v>7.2094344105203696</v>
      </c>
      <c r="AP17" s="105" t="s">
        <v>34</v>
      </c>
      <c r="AQ17" s="90"/>
      <c r="AR17" s="95"/>
      <c r="AS17" s="105"/>
      <c r="AT17" s="105">
        <f t="shared" si="9"/>
        <v>0</v>
      </c>
      <c r="AU17" s="80">
        <f t="shared" si="10"/>
        <v>7.2094344105203696</v>
      </c>
      <c r="AV17" s="80">
        <f t="shared" si="21"/>
        <v>7.8363417505656203</v>
      </c>
      <c r="AW17" s="90"/>
      <c r="AX17" s="95"/>
      <c r="AY17" s="105"/>
      <c r="AZ17" s="105">
        <f t="shared" si="11"/>
        <v>0</v>
      </c>
      <c r="BA17" s="80">
        <f t="shared" si="12"/>
        <v>7.2094344105203696</v>
      </c>
      <c r="BB17" s="80">
        <f t="shared" si="22"/>
        <v>8.5826600125242507</v>
      </c>
      <c r="BC17" s="90"/>
      <c r="BD17" s="95"/>
      <c r="BE17" s="105"/>
      <c r="BF17" s="105">
        <f t="shared" si="13"/>
        <v>0</v>
      </c>
      <c r="BG17" s="80">
        <f t="shared" si="14"/>
        <v>7.2094344105203696</v>
      </c>
      <c r="BH17" s="80">
        <f t="shared" si="23"/>
        <v>9.4860979085794348</v>
      </c>
      <c r="BI17" s="90"/>
      <c r="BJ17" s="95"/>
      <c r="BK17" s="105"/>
      <c r="BL17" s="105">
        <f t="shared" si="15"/>
        <v>0</v>
      </c>
      <c r="BM17" s="80">
        <f t="shared" si="16"/>
        <v>7.2094344105203696</v>
      </c>
      <c r="BN17" s="18">
        <f t="shared" si="24"/>
        <v>10.602109427235835</v>
      </c>
    </row>
    <row r="18" spans="1:66" s="83" customFormat="1" ht="18" x14ac:dyDescent="0.35">
      <c r="A18" s="90" t="s">
        <v>116</v>
      </c>
      <c r="B18" s="90">
        <f t="shared" si="0"/>
        <v>4.5393471027332382</v>
      </c>
      <c r="C18" s="97">
        <v>4.4422891116841425</v>
      </c>
      <c r="D18" s="97">
        <v>4.3367912953264316</v>
      </c>
      <c r="E18" s="97">
        <v>4.2221197558071788</v>
      </c>
      <c r="F18" s="97">
        <v>4.0974767780688603</v>
      </c>
      <c r="G18" s="97">
        <v>3.9619952805272112</v>
      </c>
      <c r="H18" s="97">
        <v>3.8007077834538183</v>
      </c>
      <c r="I18" s="97">
        <v>3.6054650238386583</v>
      </c>
      <c r="J18" s="98">
        <v>3.3642827913728719</v>
      </c>
      <c r="P18" s="90" t="s">
        <v>35</v>
      </c>
      <c r="Q18" s="95">
        <v>0.11276523431310569</v>
      </c>
      <c r="R18" s="90"/>
      <c r="S18" s="95"/>
      <c r="T18" s="105"/>
      <c r="U18" s="105">
        <f t="shared" si="1"/>
        <v>0</v>
      </c>
      <c r="V18" s="80">
        <f t="shared" si="2"/>
        <v>0.11276523431310569</v>
      </c>
      <c r="W18" s="80">
        <f t="shared" si="17"/>
        <v>0.12257090686207139</v>
      </c>
      <c r="X18" s="90"/>
      <c r="Y18" s="95"/>
      <c r="Z18" s="105"/>
      <c r="AA18" s="105">
        <f t="shared" si="3"/>
        <v>0</v>
      </c>
      <c r="AB18" s="80">
        <f t="shared" si="4"/>
        <v>0.12257090686207139</v>
      </c>
      <c r="AC18" s="80">
        <f t="shared" si="18"/>
        <v>0.13322924658920809</v>
      </c>
      <c r="AD18" s="90"/>
      <c r="AE18" s="95"/>
      <c r="AF18" s="105"/>
      <c r="AG18" s="105">
        <f t="shared" si="5"/>
        <v>0</v>
      </c>
      <c r="AH18" s="80">
        <f t="shared" si="6"/>
        <v>0.13322924658920809</v>
      </c>
      <c r="AI18" s="80">
        <f t="shared" si="19"/>
        <v>0.14481439846653052</v>
      </c>
      <c r="AJ18" s="90"/>
      <c r="AK18" s="95"/>
      <c r="AL18" s="105"/>
      <c r="AM18" s="105">
        <f t="shared" si="7"/>
        <v>0</v>
      </c>
      <c r="AN18" s="80">
        <f t="shared" si="8"/>
        <v>0.14481439846653052</v>
      </c>
      <c r="AO18" s="80">
        <f t="shared" si="20"/>
        <v>0.15740695485492445</v>
      </c>
      <c r="AP18" s="105" t="s">
        <v>35</v>
      </c>
      <c r="AQ18" s="90"/>
      <c r="AR18" s="95"/>
      <c r="AS18" s="105"/>
      <c r="AT18" s="105">
        <f t="shared" si="9"/>
        <v>0</v>
      </c>
      <c r="AU18" s="80">
        <f t="shared" si="10"/>
        <v>0.15740695485492445</v>
      </c>
      <c r="AV18" s="80">
        <f t="shared" si="21"/>
        <v>0.17109451614665702</v>
      </c>
      <c r="AW18" s="90"/>
      <c r="AX18" s="95"/>
      <c r="AY18" s="105"/>
      <c r="AZ18" s="105">
        <f t="shared" si="11"/>
        <v>0</v>
      </c>
      <c r="BA18" s="80">
        <f t="shared" si="12"/>
        <v>0.15740695485492445</v>
      </c>
      <c r="BB18" s="80">
        <f t="shared" si="22"/>
        <v>0.1873892319701482</v>
      </c>
      <c r="BC18" s="90"/>
      <c r="BD18" s="95"/>
      <c r="BE18" s="105"/>
      <c r="BF18" s="105">
        <f t="shared" si="13"/>
        <v>0</v>
      </c>
      <c r="BG18" s="80">
        <f t="shared" si="14"/>
        <v>0.15740695485492445</v>
      </c>
      <c r="BH18" s="80">
        <f t="shared" si="23"/>
        <v>0.20711441428279534</v>
      </c>
      <c r="BI18" s="90"/>
      <c r="BJ18" s="95"/>
      <c r="BK18" s="105"/>
      <c r="BL18" s="105">
        <f t="shared" si="15"/>
        <v>0</v>
      </c>
      <c r="BM18" s="80">
        <f t="shared" si="16"/>
        <v>0.15740695485492445</v>
      </c>
      <c r="BN18" s="18">
        <f t="shared" si="24"/>
        <v>0.23148081596312417</v>
      </c>
    </row>
    <row r="19" spans="1:66" s="83" customFormat="1" ht="18" x14ac:dyDescent="0.35">
      <c r="A19" s="90" t="s">
        <v>117</v>
      </c>
      <c r="B19" s="90">
        <f t="shared" si="0"/>
        <v>4.7216394300977935</v>
      </c>
      <c r="C19" s="97">
        <v>4.3965645979323833</v>
      </c>
      <c r="D19" s="97">
        <v>4.0432223890569396</v>
      </c>
      <c r="E19" s="97">
        <v>3.6591547707140646</v>
      </c>
      <c r="F19" s="97">
        <v>3.2416899681674614</v>
      </c>
      <c r="G19" s="97">
        <v>2.7879238784428932</v>
      </c>
      <c r="H19" s="97">
        <v>2.2477261525803116</v>
      </c>
      <c r="I19" s="97">
        <v>1.5938025896940278</v>
      </c>
      <c r="J19" s="98">
        <v>0.78601465906979562</v>
      </c>
      <c r="P19" s="90" t="s">
        <v>36</v>
      </c>
      <c r="Q19" s="95">
        <v>0.12766028321017062</v>
      </c>
      <c r="R19" s="90"/>
      <c r="S19" s="95"/>
      <c r="T19" s="105"/>
      <c r="U19" s="105">
        <f t="shared" si="1"/>
        <v>0</v>
      </c>
      <c r="V19" s="80">
        <f t="shared" si="2"/>
        <v>0.12766028321017062</v>
      </c>
      <c r="W19" s="80">
        <f t="shared" si="17"/>
        <v>0.13876117740235935</v>
      </c>
      <c r="X19" s="90"/>
      <c r="Y19" s="95"/>
      <c r="Z19" s="105"/>
      <c r="AA19" s="105">
        <f t="shared" si="3"/>
        <v>0</v>
      </c>
      <c r="AB19" s="80">
        <f t="shared" si="4"/>
        <v>0.13876117740235935</v>
      </c>
      <c r="AC19" s="80">
        <f t="shared" si="18"/>
        <v>0.150827366741695</v>
      </c>
      <c r="AD19" s="90"/>
      <c r="AE19" s="95"/>
      <c r="AF19" s="105"/>
      <c r="AG19" s="105">
        <f t="shared" si="5"/>
        <v>0</v>
      </c>
      <c r="AH19" s="80">
        <f t="shared" si="6"/>
        <v>0.150827366741695</v>
      </c>
      <c r="AI19" s="80">
        <f t="shared" si="19"/>
        <v>0.16394278993662501</v>
      </c>
      <c r="AJ19" s="90"/>
      <c r="AK19" s="95"/>
      <c r="AL19" s="105"/>
      <c r="AM19" s="105">
        <f t="shared" si="7"/>
        <v>0</v>
      </c>
      <c r="AN19" s="80">
        <f t="shared" si="8"/>
        <v>0.16394278993662501</v>
      </c>
      <c r="AO19" s="80">
        <f t="shared" si="20"/>
        <v>0.17819868471372283</v>
      </c>
      <c r="AP19" s="105" t="s">
        <v>36</v>
      </c>
      <c r="AQ19" s="90"/>
      <c r="AR19" s="95"/>
      <c r="AS19" s="105"/>
      <c r="AT19" s="105">
        <f t="shared" si="9"/>
        <v>0</v>
      </c>
      <c r="AU19" s="80">
        <f t="shared" si="10"/>
        <v>0.17819868471372283</v>
      </c>
      <c r="AV19" s="80">
        <f t="shared" si="21"/>
        <v>0.19369422251491616</v>
      </c>
      <c r="AW19" s="90"/>
      <c r="AX19" s="95"/>
      <c r="AY19" s="105"/>
      <c r="AZ19" s="105">
        <f t="shared" si="11"/>
        <v>0</v>
      </c>
      <c r="BA19" s="80">
        <f t="shared" si="12"/>
        <v>0.17819868471372283</v>
      </c>
      <c r="BB19" s="80">
        <f t="shared" si="22"/>
        <v>0.21214129132586054</v>
      </c>
      <c r="BC19" s="90"/>
      <c r="BD19" s="95"/>
      <c r="BE19" s="105"/>
      <c r="BF19" s="105">
        <f t="shared" si="13"/>
        <v>0</v>
      </c>
      <c r="BG19" s="80">
        <f t="shared" si="14"/>
        <v>0.17819868471372283</v>
      </c>
      <c r="BH19" s="80">
        <f t="shared" si="23"/>
        <v>0.23447195357068792</v>
      </c>
      <c r="BI19" s="90"/>
      <c r="BJ19" s="95"/>
      <c r="BK19" s="105"/>
      <c r="BL19" s="105">
        <f t="shared" si="15"/>
        <v>0</v>
      </c>
      <c r="BM19" s="80">
        <f t="shared" si="16"/>
        <v>0.17819868471372283</v>
      </c>
      <c r="BN19" s="18">
        <f t="shared" si="24"/>
        <v>0.26205688928488646</v>
      </c>
    </row>
    <row r="20" spans="1:66" s="83" customFormat="1" ht="18" x14ac:dyDescent="0.35">
      <c r="A20" s="108" t="s">
        <v>118</v>
      </c>
      <c r="B20" s="90">
        <f t="shared" si="0"/>
        <v>2.6429604765111345E-2</v>
      </c>
      <c r="C20" s="105">
        <v>2.8727831266425374E-2</v>
      </c>
      <c r="D20" s="105">
        <v>3.1225903550462373E-2</v>
      </c>
      <c r="E20" s="105">
        <v>3.3941199511372144E-2</v>
      </c>
      <c r="F20" s="105">
        <v>3.6892608164534935E-2</v>
      </c>
      <c r="G20" s="105">
        <v>4.0100661048407545E-2</v>
      </c>
      <c r="H20" s="105">
        <v>4.3919771624446359E-2</v>
      </c>
      <c r="I20" s="105">
        <v>4.8542905479651226E-2</v>
      </c>
      <c r="J20" s="98">
        <v>5.4253835536080777E-2</v>
      </c>
      <c r="P20" s="90" t="s">
        <v>37</v>
      </c>
      <c r="Q20" s="95">
        <v>0.71878729847425993</v>
      </c>
      <c r="R20" s="90"/>
      <c r="S20" s="95"/>
      <c r="T20" s="105"/>
      <c r="U20" s="105">
        <f t="shared" si="1"/>
        <v>0</v>
      </c>
      <c r="V20" s="80">
        <f t="shared" si="2"/>
        <v>0.71878729847425993</v>
      </c>
      <c r="W20" s="80">
        <f t="shared" si="17"/>
        <v>0.78129054181984758</v>
      </c>
      <c r="X20" s="90"/>
      <c r="Y20" s="95"/>
      <c r="Z20" s="105"/>
      <c r="AA20" s="105">
        <f t="shared" si="3"/>
        <v>0</v>
      </c>
      <c r="AB20" s="80">
        <f t="shared" si="4"/>
        <v>0.78129054181984758</v>
      </c>
      <c r="AC20" s="80">
        <f t="shared" si="18"/>
        <v>0.84922884980418234</v>
      </c>
      <c r="AD20" s="90"/>
      <c r="AE20" s="95"/>
      <c r="AF20" s="105"/>
      <c r="AG20" s="105">
        <f t="shared" si="5"/>
        <v>0</v>
      </c>
      <c r="AH20" s="80">
        <f t="shared" si="6"/>
        <v>0.84922884980418234</v>
      </c>
      <c r="AI20" s="80">
        <f t="shared" si="19"/>
        <v>0.92307483674367641</v>
      </c>
      <c r="AJ20" s="90"/>
      <c r="AK20" s="95"/>
      <c r="AL20" s="105"/>
      <c r="AM20" s="105">
        <f t="shared" si="7"/>
        <v>0</v>
      </c>
      <c r="AN20" s="80">
        <f t="shared" si="8"/>
        <v>0.92307483674367641</v>
      </c>
      <c r="AO20" s="80">
        <f t="shared" si="20"/>
        <v>1.003342213851822</v>
      </c>
      <c r="AP20" s="105" t="s">
        <v>37</v>
      </c>
      <c r="AQ20" s="90"/>
      <c r="AR20" s="95"/>
      <c r="AS20" s="105"/>
      <c r="AT20" s="105">
        <f t="shared" si="9"/>
        <v>0</v>
      </c>
      <c r="AU20" s="80">
        <f t="shared" si="10"/>
        <v>1.003342213851822</v>
      </c>
      <c r="AV20" s="80">
        <f t="shared" si="21"/>
        <v>1.0905893628824155</v>
      </c>
      <c r="AW20" s="90"/>
      <c r="AX20" s="95"/>
      <c r="AY20" s="105"/>
      <c r="AZ20" s="105">
        <f t="shared" si="11"/>
        <v>0</v>
      </c>
      <c r="BA20" s="80">
        <f t="shared" si="12"/>
        <v>1.003342213851822</v>
      </c>
      <c r="BB20" s="80">
        <f t="shared" si="22"/>
        <v>1.1944550164902645</v>
      </c>
      <c r="BC20" s="90"/>
      <c r="BD20" s="95"/>
      <c r="BE20" s="105"/>
      <c r="BF20" s="105">
        <f t="shared" si="13"/>
        <v>0</v>
      </c>
      <c r="BG20" s="80">
        <f t="shared" si="14"/>
        <v>1.003342213851822</v>
      </c>
      <c r="BH20" s="80">
        <f t="shared" si="23"/>
        <v>1.3201871234892395</v>
      </c>
      <c r="BI20" s="90"/>
      <c r="BJ20" s="95"/>
      <c r="BK20" s="105"/>
      <c r="BL20" s="105">
        <f t="shared" si="15"/>
        <v>0</v>
      </c>
      <c r="BM20" s="80">
        <f t="shared" si="16"/>
        <v>1.003342213851822</v>
      </c>
      <c r="BN20" s="18">
        <f t="shared" si="24"/>
        <v>1.4755032556644438</v>
      </c>
    </row>
    <row r="21" spans="1:66" s="83" customFormat="1" ht="18" x14ac:dyDescent="0.35">
      <c r="A21" s="90" t="s">
        <v>19</v>
      </c>
      <c r="B21" s="106">
        <f>SUM(B11:B20)</f>
        <v>100</v>
      </c>
      <c r="C21" s="107">
        <f t="shared" ref="C21:J21" si="25">SUM(C11:C20)</f>
        <v>99.999999999999986</v>
      </c>
      <c r="D21" s="107">
        <f t="shared" si="25"/>
        <v>100.00000000000001</v>
      </c>
      <c r="E21" s="107">
        <f t="shared" si="25"/>
        <v>100.00000000000003</v>
      </c>
      <c r="F21" s="107">
        <f t="shared" si="25"/>
        <v>100</v>
      </c>
      <c r="G21" s="107">
        <f t="shared" si="25"/>
        <v>100.00000000000001</v>
      </c>
      <c r="H21" s="107">
        <f t="shared" si="25"/>
        <v>100.00000000000001</v>
      </c>
      <c r="I21" s="107">
        <f t="shared" si="25"/>
        <v>99.999999999999986</v>
      </c>
      <c r="J21" s="109">
        <f t="shared" si="25"/>
        <v>99.999999999999986</v>
      </c>
      <c r="P21" s="90" t="s">
        <v>127</v>
      </c>
      <c r="Q21" s="95">
        <v>4.5393471027332382</v>
      </c>
      <c r="R21" s="90"/>
      <c r="S21" s="95">
        <v>11.311027999595673</v>
      </c>
      <c r="T21" s="105"/>
      <c r="U21" s="105">
        <f t="shared" si="1"/>
        <v>0.45244111998382691</v>
      </c>
      <c r="V21" s="80">
        <f t="shared" si="2"/>
        <v>4.0869059827494114</v>
      </c>
      <c r="W21" s="80">
        <f t="shared" si="17"/>
        <v>4.4422891116841425</v>
      </c>
      <c r="X21" s="90"/>
      <c r="Y21" s="95">
        <v>11.311027999595673</v>
      </c>
      <c r="Z21" s="105"/>
      <c r="AA21" s="105">
        <f t="shared" si="3"/>
        <v>0.45244111998382691</v>
      </c>
      <c r="AB21" s="80">
        <f t="shared" si="4"/>
        <v>3.9898479917003158</v>
      </c>
      <c r="AC21" s="80">
        <f t="shared" si="18"/>
        <v>4.3367912953264316</v>
      </c>
      <c r="AD21" s="90"/>
      <c r="AE21" s="95">
        <v>11.311027999595673</v>
      </c>
      <c r="AF21" s="105"/>
      <c r="AG21" s="105">
        <f t="shared" si="5"/>
        <v>0.45244111998382691</v>
      </c>
      <c r="AH21" s="80">
        <f t="shared" si="6"/>
        <v>3.8843501753426048</v>
      </c>
      <c r="AI21" s="80">
        <f t="shared" si="19"/>
        <v>4.2221197558071788</v>
      </c>
      <c r="AJ21" s="90"/>
      <c r="AK21" s="95">
        <v>11.311027999595673</v>
      </c>
      <c r="AL21" s="105"/>
      <c r="AM21" s="105">
        <f t="shared" si="7"/>
        <v>0.45244111998382691</v>
      </c>
      <c r="AN21" s="80">
        <f t="shared" si="8"/>
        <v>3.7696786358233521</v>
      </c>
      <c r="AO21" s="80">
        <f t="shared" si="20"/>
        <v>4.0974767780688603</v>
      </c>
      <c r="AP21" s="105" t="s">
        <v>127</v>
      </c>
      <c r="AQ21" s="90"/>
      <c r="AR21" s="95">
        <v>11.311027999595673</v>
      </c>
      <c r="AS21" s="105"/>
      <c r="AT21" s="105">
        <f t="shared" si="9"/>
        <v>0.45244111998382691</v>
      </c>
      <c r="AU21" s="80">
        <f t="shared" si="10"/>
        <v>3.6450356580850336</v>
      </c>
      <c r="AV21" s="80">
        <f t="shared" si="21"/>
        <v>3.9619952805272112</v>
      </c>
      <c r="AW21" s="90"/>
      <c r="AX21" s="95">
        <v>11.311027999595673</v>
      </c>
      <c r="AY21" s="105"/>
      <c r="AZ21" s="105">
        <f t="shared" si="11"/>
        <v>0.45244111998382691</v>
      </c>
      <c r="BA21" s="80">
        <f t="shared" si="12"/>
        <v>3.1925945381012069</v>
      </c>
      <c r="BB21" s="80">
        <f t="shared" si="22"/>
        <v>3.8007077834538183</v>
      </c>
      <c r="BC21" s="90"/>
      <c r="BD21" s="95">
        <v>11.311027999595673</v>
      </c>
      <c r="BE21" s="105"/>
      <c r="BF21" s="105">
        <f t="shared" si="13"/>
        <v>0.45244111998382691</v>
      </c>
      <c r="BG21" s="80">
        <f t="shared" si="14"/>
        <v>2.7401534181173801</v>
      </c>
      <c r="BH21" s="80">
        <f t="shared" si="23"/>
        <v>3.6054650238386583</v>
      </c>
      <c r="BI21" s="90"/>
      <c r="BJ21" s="95">
        <v>11.311027999595673</v>
      </c>
      <c r="BK21" s="105"/>
      <c r="BL21" s="105">
        <f t="shared" si="15"/>
        <v>0.45244111998382691</v>
      </c>
      <c r="BM21" s="80">
        <f t="shared" si="16"/>
        <v>2.2877122981335534</v>
      </c>
      <c r="BN21" s="18">
        <f t="shared" si="24"/>
        <v>3.3642827913728719</v>
      </c>
    </row>
    <row r="22" spans="1:66" s="83" customFormat="1" ht="18" x14ac:dyDescent="0.35">
      <c r="A22" s="90"/>
      <c r="B22" s="90"/>
      <c r="C22" s="105"/>
      <c r="D22" s="105"/>
      <c r="E22" s="105"/>
      <c r="F22" s="105"/>
      <c r="G22" s="105"/>
      <c r="H22" s="105"/>
      <c r="I22" s="105"/>
      <c r="J22" s="98"/>
      <c r="P22" s="90" t="s">
        <v>128</v>
      </c>
      <c r="Q22" s="95">
        <v>4.7216394300977935</v>
      </c>
      <c r="R22" s="90">
        <v>16.920000000000002</v>
      </c>
      <c r="S22" s="105"/>
      <c r="T22" s="105"/>
      <c r="U22" s="105">
        <f t="shared" si="1"/>
        <v>0.67680000000000007</v>
      </c>
      <c r="V22" s="80">
        <f t="shared" si="2"/>
        <v>4.0448394300977935</v>
      </c>
      <c r="W22" s="80">
        <f t="shared" si="17"/>
        <v>4.3965645979323833</v>
      </c>
      <c r="X22" s="90">
        <v>16.920000000000002</v>
      </c>
      <c r="Y22" s="105"/>
      <c r="Z22" s="105"/>
      <c r="AA22" s="105">
        <f t="shared" si="3"/>
        <v>0.67680000000000007</v>
      </c>
      <c r="AB22" s="80">
        <f t="shared" si="4"/>
        <v>3.7197645979323832</v>
      </c>
      <c r="AC22" s="80">
        <f t="shared" si="18"/>
        <v>4.0432223890569396</v>
      </c>
      <c r="AD22" s="90">
        <v>16.920000000000002</v>
      </c>
      <c r="AE22" s="105"/>
      <c r="AF22" s="105"/>
      <c r="AG22" s="105">
        <f t="shared" si="5"/>
        <v>0.67680000000000007</v>
      </c>
      <c r="AH22" s="80">
        <f t="shared" si="6"/>
        <v>3.3664223890569396</v>
      </c>
      <c r="AI22" s="80">
        <f t="shared" si="19"/>
        <v>3.6591547707140646</v>
      </c>
      <c r="AJ22" s="90">
        <v>16.920000000000002</v>
      </c>
      <c r="AK22" s="105"/>
      <c r="AL22" s="105"/>
      <c r="AM22" s="105">
        <f t="shared" si="7"/>
        <v>0.67680000000000007</v>
      </c>
      <c r="AN22" s="80">
        <f t="shared" si="8"/>
        <v>2.9823547707140645</v>
      </c>
      <c r="AO22" s="80">
        <f t="shared" si="20"/>
        <v>3.2416899681674614</v>
      </c>
      <c r="AP22" s="105" t="s">
        <v>128</v>
      </c>
      <c r="AQ22" s="90">
        <v>16.920000000000002</v>
      </c>
      <c r="AR22" s="105"/>
      <c r="AS22" s="105"/>
      <c r="AT22" s="105">
        <f t="shared" si="9"/>
        <v>0.67680000000000007</v>
      </c>
      <c r="AU22" s="80">
        <f t="shared" si="10"/>
        <v>2.5648899681674613</v>
      </c>
      <c r="AV22" s="80">
        <f t="shared" si="21"/>
        <v>2.7879238784428932</v>
      </c>
      <c r="AW22" s="90">
        <v>16.920000000000002</v>
      </c>
      <c r="AX22" s="105"/>
      <c r="AY22" s="105"/>
      <c r="AZ22" s="105">
        <f t="shared" si="11"/>
        <v>0.67680000000000007</v>
      </c>
      <c r="BA22" s="80">
        <f t="shared" si="12"/>
        <v>1.8880899681674612</v>
      </c>
      <c r="BB22" s="80">
        <f t="shared" si="22"/>
        <v>2.2477261525803116</v>
      </c>
      <c r="BC22" s="90">
        <v>16.920000000000002</v>
      </c>
      <c r="BD22" s="105"/>
      <c r="BE22" s="105"/>
      <c r="BF22" s="105">
        <f t="shared" si="13"/>
        <v>0.67680000000000007</v>
      </c>
      <c r="BG22" s="80">
        <f t="shared" si="14"/>
        <v>1.2112899681674612</v>
      </c>
      <c r="BH22" s="80">
        <f t="shared" si="23"/>
        <v>1.5938025896940278</v>
      </c>
      <c r="BI22" s="90">
        <v>16.920000000000002</v>
      </c>
      <c r="BJ22" s="105"/>
      <c r="BK22" s="105"/>
      <c r="BL22" s="105">
        <f t="shared" si="15"/>
        <v>0.67680000000000007</v>
      </c>
      <c r="BM22" s="80">
        <f t="shared" si="16"/>
        <v>0.53448996816746108</v>
      </c>
      <c r="BN22" s="18">
        <f t="shared" si="24"/>
        <v>0.78601465906979562</v>
      </c>
    </row>
    <row r="23" spans="1:66" s="83" customFormat="1" ht="18" x14ac:dyDescent="0.35">
      <c r="A23" s="90" t="s">
        <v>121</v>
      </c>
      <c r="B23" s="90">
        <f>B18+B19</f>
        <v>9.2609865328310317</v>
      </c>
      <c r="C23" s="105">
        <f t="shared" ref="C23:J23" si="26">C18+C19</f>
        <v>8.8388537096165258</v>
      </c>
      <c r="D23" s="105">
        <f t="shared" si="26"/>
        <v>8.3800136843833712</v>
      </c>
      <c r="E23" s="105">
        <f t="shared" si="26"/>
        <v>7.8812745265212438</v>
      </c>
      <c r="F23" s="105">
        <f t="shared" si="26"/>
        <v>7.3391667462363213</v>
      </c>
      <c r="G23" s="105">
        <f t="shared" si="26"/>
        <v>6.7499191589701049</v>
      </c>
      <c r="H23" s="105">
        <f t="shared" si="26"/>
        <v>6.0484339360341295</v>
      </c>
      <c r="I23" s="105">
        <f t="shared" si="26"/>
        <v>5.1992676135326858</v>
      </c>
      <c r="J23" s="98">
        <f t="shared" si="26"/>
        <v>4.1502974504426673</v>
      </c>
      <c r="P23" s="108" t="s">
        <v>129</v>
      </c>
      <c r="Q23" s="100">
        <v>2.6429604765111345E-2</v>
      </c>
      <c r="R23" s="108"/>
      <c r="S23" s="110"/>
      <c r="T23" s="110"/>
      <c r="U23" s="110">
        <f t="shared" si="1"/>
        <v>0</v>
      </c>
      <c r="V23" s="19">
        <f t="shared" si="2"/>
        <v>2.6429604765111345E-2</v>
      </c>
      <c r="W23" s="19">
        <f t="shared" si="17"/>
        <v>2.8727831266425374E-2</v>
      </c>
      <c r="X23" s="108"/>
      <c r="Y23" s="110"/>
      <c r="Z23" s="110"/>
      <c r="AA23" s="110">
        <f t="shared" si="3"/>
        <v>0</v>
      </c>
      <c r="AB23" s="19">
        <f t="shared" si="4"/>
        <v>2.8727831266425374E-2</v>
      </c>
      <c r="AC23" s="19">
        <f t="shared" si="18"/>
        <v>3.1225903550462373E-2</v>
      </c>
      <c r="AD23" s="108"/>
      <c r="AE23" s="110"/>
      <c r="AF23" s="110"/>
      <c r="AG23" s="110">
        <f t="shared" si="5"/>
        <v>0</v>
      </c>
      <c r="AH23" s="19">
        <f t="shared" si="6"/>
        <v>3.1225903550462373E-2</v>
      </c>
      <c r="AI23" s="19">
        <f t="shared" si="19"/>
        <v>3.3941199511372144E-2</v>
      </c>
      <c r="AJ23" s="108"/>
      <c r="AK23" s="110"/>
      <c r="AL23" s="110"/>
      <c r="AM23" s="110">
        <f t="shared" si="7"/>
        <v>0</v>
      </c>
      <c r="AN23" s="19">
        <f t="shared" si="8"/>
        <v>3.3941199511372144E-2</v>
      </c>
      <c r="AO23" s="19">
        <f t="shared" si="20"/>
        <v>3.6892608164534935E-2</v>
      </c>
      <c r="AP23" s="110" t="s">
        <v>129</v>
      </c>
      <c r="AQ23" s="108"/>
      <c r="AR23" s="110"/>
      <c r="AS23" s="110"/>
      <c r="AT23" s="110">
        <f t="shared" si="9"/>
        <v>0</v>
      </c>
      <c r="AU23" s="19">
        <f t="shared" si="10"/>
        <v>3.6892608164534935E-2</v>
      </c>
      <c r="AV23" s="19">
        <f t="shared" si="21"/>
        <v>4.0100661048407545E-2</v>
      </c>
      <c r="AW23" s="108"/>
      <c r="AX23" s="110"/>
      <c r="AY23" s="110"/>
      <c r="AZ23" s="110">
        <f t="shared" si="11"/>
        <v>0</v>
      </c>
      <c r="BA23" s="19">
        <f t="shared" si="12"/>
        <v>3.6892608164534935E-2</v>
      </c>
      <c r="BB23" s="19">
        <f t="shared" si="22"/>
        <v>4.3919771624446359E-2</v>
      </c>
      <c r="BC23" s="108"/>
      <c r="BD23" s="110"/>
      <c r="BE23" s="110"/>
      <c r="BF23" s="110">
        <f t="shared" si="13"/>
        <v>0</v>
      </c>
      <c r="BG23" s="19">
        <f t="shared" si="14"/>
        <v>3.6892608164534935E-2</v>
      </c>
      <c r="BH23" s="19">
        <f t="shared" si="23"/>
        <v>4.8542905479651226E-2</v>
      </c>
      <c r="BI23" s="108"/>
      <c r="BJ23" s="110"/>
      <c r="BK23" s="110"/>
      <c r="BL23" s="110">
        <f t="shared" si="15"/>
        <v>0</v>
      </c>
      <c r="BM23" s="19">
        <f t="shared" si="16"/>
        <v>3.6892608164534935E-2</v>
      </c>
      <c r="BN23" s="21">
        <f t="shared" si="24"/>
        <v>5.4253835536080777E-2</v>
      </c>
    </row>
    <row r="24" spans="1:66" s="83" customFormat="1" x14ac:dyDescent="0.25">
      <c r="A24" s="90" t="s">
        <v>132</v>
      </c>
      <c r="B24" s="90">
        <f>B26/(B28+B29)</f>
        <v>0.90455342159050478</v>
      </c>
      <c r="C24" s="105">
        <f t="shared" ref="C24:J24" si="27">C26/(C28+C29)</f>
        <v>0.88473083911876416</v>
      </c>
      <c r="D24" s="105">
        <f t="shared" si="27"/>
        <v>0.86118627186350905</v>
      </c>
      <c r="E24" s="105">
        <f t="shared" si="27"/>
        <v>0.83287151047118335</v>
      </c>
      <c r="F24" s="105">
        <f t="shared" si="27"/>
        <v>0.79830724017397869</v>
      </c>
      <c r="G24" s="105">
        <f t="shared" si="27"/>
        <v>0.75533576216556275</v>
      </c>
      <c r="H24" s="105">
        <f t="shared" si="27"/>
        <v>0.69496681239604874</v>
      </c>
      <c r="I24" s="105">
        <f t="shared" si="27"/>
        <v>0.60395347779896902</v>
      </c>
      <c r="J24" s="98">
        <f t="shared" si="27"/>
        <v>0.45102563895005188</v>
      </c>
      <c r="P24" s="108" t="s">
        <v>19</v>
      </c>
      <c r="Q24" s="19">
        <f>SUM(Q14:Q23)</f>
        <v>100</v>
      </c>
      <c r="R24" s="20">
        <f>SUM(R14:R23)</f>
        <v>100.00000000000001</v>
      </c>
      <c r="S24" s="20">
        <f>SUM(S14:S23)</f>
        <v>99.999999999999972</v>
      </c>
      <c r="T24" s="16"/>
      <c r="U24" s="16">
        <f>SUM(U14:U23)</f>
        <v>8</v>
      </c>
      <c r="V24" s="16">
        <f>SUM(V14:V23)</f>
        <v>92.000000000000014</v>
      </c>
      <c r="W24" s="19">
        <f>SUM(W14:W23)</f>
        <v>99.999999999999986</v>
      </c>
      <c r="X24" s="20">
        <f>SUM(X14:X23)</f>
        <v>100.00000000000001</v>
      </c>
      <c r="Y24" s="20">
        <f>SUM(Y14:Y23)</f>
        <v>99.999999999999972</v>
      </c>
      <c r="Z24" s="16"/>
      <c r="AA24" s="16">
        <f>SUM(AA14:AA23)</f>
        <v>8</v>
      </c>
      <c r="AB24" s="16">
        <f>SUM(AB14:AB23)</f>
        <v>91.999999999999972</v>
      </c>
      <c r="AC24" s="19">
        <f>SUM(AC14:AC23)</f>
        <v>100.00000000000001</v>
      </c>
      <c r="AD24" s="20">
        <f>SUM(AD14:AD23)</f>
        <v>100.00000000000001</v>
      </c>
      <c r="AE24" s="20">
        <f>SUM(AE14:AE23)</f>
        <v>99.999999999999972</v>
      </c>
      <c r="AF24" s="16"/>
      <c r="AG24" s="16">
        <f>SUM(AG14:AG23)</f>
        <v>8</v>
      </c>
      <c r="AH24" s="16">
        <f>SUM(AH14:AH23)</f>
        <v>92</v>
      </c>
      <c r="AI24" s="19">
        <f>SUM(AI14:AI23)</f>
        <v>100.00000000000003</v>
      </c>
      <c r="AJ24" s="20">
        <f>SUM(AJ14:AJ23)</f>
        <v>100.00000000000001</v>
      </c>
      <c r="AK24" s="20">
        <f>SUM(AK14:AK23)</f>
        <v>99.999999999999972</v>
      </c>
      <c r="AL24" s="16"/>
      <c r="AM24" s="16">
        <f>SUM(AM14:AM23)</f>
        <v>8</v>
      </c>
      <c r="AN24" s="16">
        <f>SUM(AN14:AN23)</f>
        <v>92.000000000000014</v>
      </c>
      <c r="AO24" s="19">
        <f>SUM(AO14:AO23)</f>
        <v>100</v>
      </c>
      <c r="AP24" s="110" t="s">
        <v>19</v>
      </c>
      <c r="AQ24" s="20">
        <f>SUM(AQ14:AQ23)</f>
        <v>100.00000000000001</v>
      </c>
      <c r="AR24" s="20">
        <f>SUM(AR14:AR23)</f>
        <v>99.999999999999972</v>
      </c>
      <c r="AS24" s="16"/>
      <c r="AT24" s="16">
        <f>SUM(AT14:AT23)</f>
        <v>8</v>
      </c>
      <c r="AU24" s="16">
        <f>SUM(AU14:AU23)</f>
        <v>91.999999999999986</v>
      </c>
      <c r="AV24" s="19">
        <f>SUM(AV14:AV23)</f>
        <v>100.00000000000001</v>
      </c>
      <c r="AW24" s="20">
        <f>SUM(AW14:AW23)</f>
        <v>100.00000000000001</v>
      </c>
      <c r="AX24" s="20">
        <f>SUM(AX14:AX23)</f>
        <v>99.999999999999972</v>
      </c>
      <c r="AY24" s="16"/>
      <c r="AZ24" s="16">
        <f>SUM(AZ14:AZ23)</f>
        <v>8</v>
      </c>
      <c r="BA24" s="16">
        <f>SUM(BA14:BA23)</f>
        <v>83.999999999999986</v>
      </c>
      <c r="BB24" s="19">
        <f>SUM(BB14:BB23)</f>
        <v>100.00000000000001</v>
      </c>
      <c r="BC24" s="20">
        <f>SUM(BC14:BC23)</f>
        <v>100.00000000000001</v>
      </c>
      <c r="BD24" s="20">
        <f>SUM(BD14:BD23)</f>
        <v>99.999999999999972</v>
      </c>
      <c r="BE24" s="16"/>
      <c r="BF24" s="16">
        <f>SUM(BF14:BF23)</f>
        <v>8</v>
      </c>
      <c r="BG24" s="16">
        <f>SUM(BG14:BG23)</f>
        <v>76</v>
      </c>
      <c r="BH24" s="19">
        <f>SUM(BH14:BH23)</f>
        <v>99.999999999999986</v>
      </c>
      <c r="BI24" s="20">
        <f>SUM(BI14:BI23)</f>
        <v>100.00000000000001</v>
      </c>
      <c r="BJ24" s="20">
        <f>SUM(BJ14:BJ23)</f>
        <v>99.999999999999972</v>
      </c>
      <c r="BK24" s="16"/>
      <c r="BL24" s="16">
        <f>SUM(BL14:BL23)</f>
        <v>8</v>
      </c>
      <c r="BM24" s="16">
        <f>SUM(BM14:BM23)</f>
        <v>68.000000000000014</v>
      </c>
      <c r="BN24" s="21">
        <f>SUM(BN14:BN23)</f>
        <v>99.999999999999986</v>
      </c>
    </row>
    <row r="25" spans="1:66" s="83" customFormat="1" x14ac:dyDescent="0.25">
      <c r="A25" s="90" t="s">
        <v>133</v>
      </c>
      <c r="B25" s="90">
        <f>B26/(B27+B28+B29)</f>
        <v>0.8598823159040806</v>
      </c>
      <c r="C25" s="105">
        <f t="shared" ref="C25:J25" si="28">C26/(C27+C28+C29)</f>
        <v>0.83554920553984813</v>
      </c>
      <c r="D25" s="105">
        <f t="shared" si="28"/>
        <v>0.80705672432600462</v>
      </c>
      <c r="E25" s="105">
        <f t="shared" si="28"/>
        <v>0.77336686828366907</v>
      </c>
      <c r="F25" s="105">
        <f t="shared" si="28"/>
        <v>0.733069053397439</v>
      </c>
      <c r="G25" s="105">
        <f t="shared" si="28"/>
        <v>0.68419622570015604</v>
      </c>
      <c r="H25" s="105">
        <f t="shared" si="28"/>
        <v>0.61773558379296001</v>
      </c>
      <c r="I25" s="105">
        <f t="shared" si="28"/>
        <v>0.52211004909772973</v>
      </c>
      <c r="J25" s="98">
        <f t="shared" si="28"/>
        <v>0.37272573502328382</v>
      </c>
      <c r="L25" s="97"/>
      <c r="N25" s="97"/>
      <c r="O25" s="97"/>
      <c r="P25" s="97"/>
      <c r="T25" s="97"/>
      <c r="U25" s="97"/>
      <c r="V25" s="97"/>
      <c r="Z25" s="97"/>
      <c r="AA25" s="97"/>
      <c r="AB25" s="97"/>
      <c r="AF25" s="97"/>
      <c r="AG25" s="97"/>
      <c r="AH25" s="97"/>
      <c r="AM25" s="97"/>
      <c r="AN25" s="97"/>
      <c r="AS25" s="97"/>
      <c r="AT25" s="97"/>
      <c r="AY25" s="97"/>
      <c r="AZ25" s="97"/>
      <c r="BE25" s="97"/>
      <c r="BF25" s="97"/>
    </row>
    <row r="26" spans="1:66" s="83" customFormat="1" x14ac:dyDescent="0.25">
      <c r="A26" s="90" t="s">
        <v>38</v>
      </c>
      <c r="B26" s="90">
        <f>(2*B13)/101.94</f>
        <v>0.22317159909607329</v>
      </c>
      <c r="C26" s="105">
        <f t="shared" ref="C26:J26" si="29">(2*C13)/101.94</f>
        <v>0.20940392053075915</v>
      </c>
      <c r="D26" s="105">
        <f t="shared" si="29"/>
        <v>0.194439052524983</v>
      </c>
      <c r="E26" s="105">
        <f t="shared" si="29"/>
        <v>0.17817289164913927</v>
      </c>
      <c r="F26" s="105">
        <f t="shared" si="29"/>
        <v>0.16049228200148305</v>
      </c>
      <c r="G26" s="105">
        <f t="shared" si="29"/>
        <v>0.14127422803663936</v>
      </c>
      <c r="H26" s="105">
        <f t="shared" si="29"/>
        <v>0.11839559236420637</v>
      </c>
      <c r="I26" s="105">
        <f t="shared" si="29"/>
        <v>9.070040181336643E-2</v>
      </c>
      <c r="J26" s="98">
        <f t="shared" si="29"/>
        <v>5.6488695838799466E-2</v>
      </c>
      <c r="L26" s="97"/>
      <c r="N26" s="97"/>
      <c r="O26" s="97"/>
      <c r="P26" s="97"/>
      <c r="T26" s="97"/>
      <c r="U26" s="97"/>
      <c r="V26" s="97"/>
      <c r="Z26" s="97"/>
      <c r="AA26" s="97"/>
      <c r="AB26" s="97"/>
      <c r="AF26" s="97"/>
      <c r="AG26" s="97"/>
      <c r="AH26" s="97"/>
      <c r="AM26" s="97"/>
      <c r="AN26" s="97"/>
      <c r="AS26" s="97"/>
      <c r="AT26" s="97"/>
      <c r="AY26" s="97"/>
      <c r="AZ26" s="97"/>
      <c r="BE26" s="97"/>
      <c r="BF26" s="97"/>
    </row>
    <row r="27" spans="1:66" s="83" customFormat="1" x14ac:dyDescent="0.25">
      <c r="A27" s="90" t="s">
        <v>39</v>
      </c>
      <c r="B27" s="90">
        <f>B17/56.08</f>
        <v>1.2817177219583809E-2</v>
      </c>
      <c r="C27" s="105">
        <f t="shared" ref="C27:J27" si="30">C17/56.08</f>
        <v>1.3931714369112832E-2</v>
      </c>
      <c r="D27" s="105">
        <f t="shared" si="30"/>
        <v>1.5143167792513951E-2</v>
      </c>
      <c r="E27" s="105">
        <f t="shared" si="30"/>
        <v>1.6459964991862988E-2</v>
      </c>
      <c r="F27" s="105">
        <f t="shared" si="30"/>
        <v>1.7891266295503246E-2</v>
      </c>
      <c r="G27" s="105">
        <f t="shared" si="30"/>
        <v>1.9447028582068749E-2</v>
      </c>
      <c r="H27" s="105">
        <f t="shared" si="30"/>
        <v>2.1299126542265772E-2</v>
      </c>
      <c r="I27" s="105">
        <f t="shared" si="30"/>
        <v>2.3541139862504272E-2</v>
      </c>
      <c r="J27" s="98">
        <f t="shared" si="30"/>
        <v>2.6310685728681241E-2</v>
      </c>
      <c r="L27" s="97"/>
      <c r="N27" s="97"/>
      <c r="O27" s="97"/>
      <c r="P27" s="97"/>
      <c r="T27" s="97"/>
      <c r="U27" s="97"/>
      <c r="V27" s="97"/>
      <c r="Z27" s="97"/>
      <c r="AA27" s="97"/>
      <c r="AB27" s="97"/>
      <c r="AF27" s="97"/>
      <c r="AG27" s="97"/>
      <c r="AH27" s="97"/>
      <c r="AM27" s="97"/>
      <c r="AN27" s="97"/>
      <c r="AS27" s="97"/>
      <c r="AT27" s="97"/>
      <c r="AY27" s="97"/>
      <c r="AZ27" s="97"/>
      <c r="BE27" s="97"/>
      <c r="BF27" s="97"/>
    </row>
    <row r="28" spans="1:66" s="83" customFormat="1" x14ac:dyDescent="0.25">
      <c r="A28" s="90" t="s">
        <v>40</v>
      </c>
      <c r="B28" s="90">
        <f>(2*B18)/61.982</f>
        <v>0.14647307614253294</v>
      </c>
      <c r="C28" s="105">
        <f t="shared" ref="C28:J28" si="31">(2*C18)/61.982</f>
        <v>0.14334126396967323</v>
      </c>
      <c r="D28" s="105">
        <f t="shared" si="31"/>
        <v>0.1399371203035214</v>
      </c>
      <c r="E28" s="105">
        <f t="shared" si="31"/>
        <v>0.13623696414466066</v>
      </c>
      <c r="F28" s="105">
        <f t="shared" si="31"/>
        <v>0.13221505527633379</v>
      </c>
      <c r="G28" s="105">
        <f t="shared" si="31"/>
        <v>0.12784341520206549</v>
      </c>
      <c r="H28" s="105">
        <f>(2*H18)/61.982</f>
        <v>0.12263908178031746</v>
      </c>
      <c r="I28" s="105">
        <f t="shared" si="31"/>
        <v>0.1163390992171488</v>
      </c>
      <c r="J28" s="98">
        <f t="shared" si="31"/>
        <v>0.10855676781558748</v>
      </c>
      <c r="L28" s="97"/>
      <c r="N28" s="97"/>
      <c r="O28" s="97"/>
      <c r="P28" s="97"/>
      <c r="T28" s="97"/>
      <c r="U28" s="97"/>
      <c r="V28" s="97"/>
      <c r="Z28" s="97"/>
      <c r="AA28" s="97"/>
      <c r="AB28" s="97"/>
      <c r="AF28" s="97"/>
      <c r="AG28" s="97"/>
      <c r="AH28" s="97"/>
      <c r="AM28" s="97"/>
      <c r="AN28" s="97"/>
      <c r="AS28" s="97"/>
      <c r="AT28" s="97"/>
      <c r="AY28" s="97"/>
      <c r="AZ28" s="97"/>
      <c r="BE28" s="97"/>
      <c r="BF28" s="97"/>
    </row>
    <row r="29" spans="1:66" s="83" customFormat="1" x14ac:dyDescent="0.25">
      <c r="A29" s="108" t="s">
        <v>41</v>
      </c>
      <c r="B29" s="108">
        <f>(2*B19)/94.2</f>
        <v>0.10024712165812724</v>
      </c>
      <c r="C29" s="110">
        <f t="shared" ref="C29:J29" si="32">(2*C19)/94.2</f>
        <v>9.3345320550581382E-2</v>
      </c>
      <c r="D29" s="110">
        <f t="shared" si="32"/>
        <v>8.5843362824988098E-2</v>
      </c>
      <c r="E29" s="110">
        <f t="shared" si="32"/>
        <v>7.7689060949343192E-2</v>
      </c>
      <c r="F29" s="110">
        <f t="shared" si="32"/>
        <v>6.8825689345381344E-2</v>
      </c>
      <c r="G29" s="110">
        <f t="shared" si="32"/>
        <v>5.9191589775857603E-2</v>
      </c>
      <c r="H29" s="110">
        <f>(2*H19)/94.2</f>
        <v>4.7722423621662666E-2</v>
      </c>
      <c r="I29" s="110">
        <f t="shared" si="32"/>
        <v>3.3838696171847725E-2</v>
      </c>
      <c r="J29" s="111">
        <f t="shared" si="32"/>
        <v>1.668820932207634E-2</v>
      </c>
      <c r="L29" s="97"/>
      <c r="N29" s="97"/>
      <c r="O29" s="97"/>
      <c r="P29" s="97"/>
      <c r="T29" s="97"/>
      <c r="U29" s="97"/>
      <c r="V29" s="97"/>
      <c r="Z29" s="97"/>
      <c r="AA29" s="97"/>
      <c r="AB29" s="97"/>
      <c r="AF29" s="97"/>
      <c r="AG29" s="97"/>
      <c r="AH29" s="97"/>
      <c r="AM29" s="97"/>
      <c r="AN29" s="97"/>
      <c r="AS29" s="97"/>
      <c r="AT29" s="97"/>
      <c r="AY29" s="97"/>
      <c r="AZ29" s="97"/>
      <c r="BE29" s="97"/>
      <c r="BF29" s="97"/>
    </row>
    <row r="30" spans="1:66" s="83" customFormat="1" x14ac:dyDescent="0.25">
      <c r="A30" s="106"/>
      <c r="B30" s="106"/>
      <c r="C30" s="107"/>
      <c r="D30" s="107"/>
      <c r="E30" s="107"/>
      <c r="F30" s="107"/>
      <c r="G30" s="107"/>
      <c r="H30" s="107"/>
      <c r="I30" s="107"/>
      <c r="J30" s="109"/>
      <c r="L30" s="97"/>
      <c r="N30" s="97"/>
      <c r="O30" s="97"/>
      <c r="P30" s="97"/>
      <c r="T30" s="97"/>
      <c r="U30" s="97"/>
      <c r="V30" s="97"/>
      <c r="Z30" s="97"/>
      <c r="AA30" s="97"/>
      <c r="AB30" s="97"/>
      <c r="AF30" s="97"/>
      <c r="AG30" s="97"/>
      <c r="AH30" s="97"/>
      <c r="AM30" s="97"/>
      <c r="AN30" s="97"/>
      <c r="AS30" s="97"/>
      <c r="AT30" s="97"/>
      <c r="AY30" s="97"/>
      <c r="AZ30" s="97"/>
      <c r="BE30" s="97"/>
      <c r="BF30" s="97"/>
    </row>
    <row r="31" spans="1:66" s="83" customFormat="1" x14ac:dyDescent="0.25">
      <c r="A31" s="112" t="s">
        <v>42</v>
      </c>
      <c r="B31" s="90"/>
      <c r="C31" s="92"/>
      <c r="D31" s="92"/>
      <c r="E31" s="92"/>
      <c r="F31" s="92"/>
      <c r="G31" s="92"/>
      <c r="H31" s="92"/>
      <c r="I31" s="92"/>
      <c r="J31" s="93"/>
      <c r="L31" s="97"/>
      <c r="N31" s="97"/>
      <c r="O31" s="97"/>
      <c r="P31" s="97"/>
      <c r="T31" s="97"/>
      <c r="U31" s="97"/>
      <c r="V31" s="97"/>
      <c r="Z31" s="97"/>
      <c r="AA31" s="97"/>
      <c r="AB31" s="97"/>
      <c r="AF31" s="97"/>
      <c r="AG31" s="97"/>
      <c r="AH31" s="97"/>
      <c r="AM31" s="97"/>
      <c r="AN31" s="97"/>
      <c r="AS31" s="97"/>
      <c r="AT31" s="97"/>
      <c r="AY31" s="97"/>
      <c r="AZ31" s="97"/>
      <c r="BE31" s="97"/>
      <c r="BF31" s="97"/>
    </row>
    <row r="32" spans="1:66" s="83" customFormat="1" x14ac:dyDescent="0.25">
      <c r="A32" s="113" t="s">
        <v>43</v>
      </c>
      <c r="B32" s="113"/>
      <c r="C32" s="114">
        <f>R11*100</f>
        <v>8</v>
      </c>
      <c r="D32" s="114">
        <f>X11*100</f>
        <v>8</v>
      </c>
      <c r="E32" s="114">
        <f>AD11*100</f>
        <v>8</v>
      </c>
      <c r="F32" s="114">
        <f>AJ11*100</f>
        <v>8</v>
      </c>
      <c r="G32" s="114">
        <f>AQ11*100</f>
        <v>8</v>
      </c>
      <c r="H32" s="114">
        <f>AW11*100</f>
        <v>8</v>
      </c>
      <c r="I32" s="114">
        <f>BC11*100</f>
        <v>8</v>
      </c>
      <c r="J32" s="115">
        <f>BI11*100</f>
        <v>8</v>
      </c>
      <c r="L32" s="97"/>
      <c r="N32" s="97"/>
      <c r="O32" s="97"/>
      <c r="P32" s="97"/>
      <c r="T32" s="97"/>
      <c r="U32" s="97"/>
      <c r="V32" s="97"/>
      <c r="Z32" s="97"/>
      <c r="AA32" s="97"/>
      <c r="AB32" s="97"/>
      <c r="AF32" s="97"/>
      <c r="AG32" s="97"/>
      <c r="AH32" s="97"/>
      <c r="AM32" s="97"/>
      <c r="AN32" s="97"/>
      <c r="AS32" s="97"/>
      <c r="AT32" s="97"/>
      <c r="AY32" s="97"/>
      <c r="AZ32" s="97"/>
      <c r="BE32" s="97"/>
      <c r="BF32" s="97"/>
    </row>
    <row r="33" spans="1:86" s="83" customFormat="1" x14ac:dyDescent="0.25">
      <c r="A33" s="116"/>
      <c r="B33" s="90"/>
      <c r="C33" s="97"/>
      <c r="D33" s="97"/>
      <c r="E33" s="97"/>
      <c r="F33" s="97"/>
      <c r="G33" s="97"/>
      <c r="H33" s="97"/>
      <c r="I33" s="97"/>
      <c r="J33" s="98"/>
      <c r="L33" s="97"/>
      <c r="N33" s="97"/>
      <c r="O33" s="97"/>
      <c r="P33" s="97"/>
      <c r="T33" s="97"/>
      <c r="U33" s="97"/>
      <c r="V33" s="97"/>
      <c r="Z33" s="97"/>
      <c r="AA33" s="97"/>
      <c r="AB33" s="97"/>
      <c r="AF33" s="97"/>
      <c r="AG33" s="97"/>
      <c r="AH33" s="97"/>
      <c r="AM33" s="97"/>
      <c r="AN33" s="97"/>
      <c r="AS33" s="97"/>
      <c r="AT33" s="97"/>
      <c r="AY33" s="97"/>
      <c r="AZ33" s="97"/>
      <c r="BE33" s="97"/>
      <c r="BF33" s="97"/>
    </row>
    <row r="34" spans="1:86" s="83" customFormat="1" x14ac:dyDescent="0.25">
      <c r="A34" s="90"/>
      <c r="B34" s="90"/>
      <c r="C34" s="97"/>
      <c r="D34" s="97"/>
      <c r="E34" s="97"/>
      <c r="F34" s="97"/>
      <c r="G34" s="97"/>
      <c r="H34" s="97"/>
      <c r="I34" s="97"/>
      <c r="J34" s="98"/>
      <c r="L34" s="97"/>
      <c r="N34" s="97"/>
      <c r="O34" s="97"/>
      <c r="P34" s="97"/>
      <c r="T34" s="97"/>
      <c r="U34" s="97"/>
      <c r="V34" s="97"/>
      <c r="Z34" s="97"/>
      <c r="AA34" s="97"/>
      <c r="AB34" s="97"/>
      <c r="AF34" s="97"/>
      <c r="AG34" s="97"/>
      <c r="AH34" s="97"/>
      <c r="AM34" s="97"/>
      <c r="AN34" s="97"/>
      <c r="AS34" s="97"/>
      <c r="AT34" s="97"/>
      <c r="AY34" s="97"/>
      <c r="AZ34" s="97"/>
      <c r="BE34" s="97"/>
      <c r="BF34" s="97"/>
    </row>
    <row r="35" spans="1:86" s="83" customFormat="1" x14ac:dyDescent="0.25">
      <c r="A35" s="112" t="s">
        <v>44</v>
      </c>
      <c r="B35" s="90"/>
      <c r="C35" s="97"/>
      <c r="D35" s="97"/>
      <c r="E35" s="97"/>
      <c r="F35" s="97"/>
      <c r="G35" s="97"/>
      <c r="H35" s="97"/>
      <c r="I35" s="97"/>
      <c r="J35" s="98"/>
      <c r="L35" s="97"/>
      <c r="N35" s="97"/>
      <c r="O35" s="97"/>
      <c r="P35" s="97"/>
      <c r="T35" s="97"/>
      <c r="U35" s="97"/>
      <c r="V35" s="97"/>
      <c r="Z35" s="97"/>
      <c r="AA35" s="97"/>
      <c r="AB35" s="97"/>
      <c r="AF35" s="97"/>
      <c r="AG35" s="97"/>
      <c r="AH35" s="97"/>
      <c r="AM35" s="97"/>
      <c r="AN35" s="97"/>
      <c r="AS35" s="97"/>
      <c r="AT35" s="97"/>
      <c r="AY35" s="97"/>
      <c r="AZ35" s="97"/>
      <c r="BE35" s="97"/>
      <c r="BF35" s="97"/>
    </row>
    <row r="36" spans="1:86" s="83" customFormat="1" x14ac:dyDescent="0.25">
      <c r="A36" s="113" t="s">
        <v>43</v>
      </c>
      <c r="B36" s="113"/>
      <c r="C36" s="114">
        <f>C32</f>
        <v>8</v>
      </c>
      <c r="D36" s="114">
        <f>C36+D32</f>
        <v>16</v>
      </c>
      <c r="E36" s="114">
        <f t="shared" ref="E36:J36" si="33">D36+E32</f>
        <v>24</v>
      </c>
      <c r="F36" s="114">
        <f t="shared" si="33"/>
        <v>32</v>
      </c>
      <c r="G36" s="114">
        <f t="shared" si="33"/>
        <v>40</v>
      </c>
      <c r="H36" s="114">
        <f t="shared" si="33"/>
        <v>48</v>
      </c>
      <c r="I36" s="114">
        <f t="shared" si="33"/>
        <v>56</v>
      </c>
      <c r="J36" s="115">
        <f t="shared" si="33"/>
        <v>64</v>
      </c>
      <c r="L36" s="97"/>
      <c r="N36" s="97"/>
      <c r="O36" s="97"/>
      <c r="P36" s="97"/>
      <c r="T36" s="97"/>
      <c r="U36" s="97"/>
      <c r="V36" s="97"/>
      <c r="Z36" s="97"/>
      <c r="AA36" s="97"/>
      <c r="AB36" s="97"/>
      <c r="AF36" s="97"/>
      <c r="AG36" s="97"/>
      <c r="AH36" s="97"/>
      <c r="AM36" s="97"/>
      <c r="AN36" s="97"/>
      <c r="AS36" s="97"/>
      <c r="AT36" s="97"/>
      <c r="AY36" s="97"/>
      <c r="AZ36" s="97"/>
      <c r="BE36" s="97"/>
      <c r="BF36" s="97"/>
    </row>
    <row r="37" spans="1:86" s="83" customFormat="1" x14ac:dyDescent="0.25">
      <c r="A37" s="163"/>
      <c r="B37" s="105"/>
      <c r="C37" s="124"/>
      <c r="D37" s="124"/>
      <c r="E37" s="124"/>
      <c r="F37" s="124"/>
      <c r="G37" s="124"/>
      <c r="H37" s="124"/>
      <c r="I37" s="124"/>
      <c r="J37" s="124"/>
      <c r="L37" s="97"/>
      <c r="N37" s="97"/>
      <c r="O37" s="97"/>
      <c r="P37" s="97"/>
      <c r="T37" s="97"/>
      <c r="U37" s="97"/>
      <c r="V37" s="97"/>
      <c r="Z37" s="97"/>
      <c r="AA37" s="97"/>
      <c r="AB37" s="97"/>
      <c r="AF37" s="97"/>
      <c r="AG37" s="97"/>
      <c r="AH37" s="97"/>
      <c r="AM37" s="97"/>
      <c r="AN37" s="97"/>
      <c r="AS37" s="97"/>
      <c r="AT37" s="97"/>
      <c r="AY37" s="97"/>
      <c r="AZ37" s="97"/>
      <c r="BE37" s="97"/>
      <c r="BF37" s="97"/>
    </row>
    <row r="38" spans="1:86" s="83" customFormat="1" x14ac:dyDescent="0.25">
      <c r="L38" s="97"/>
      <c r="N38" s="97"/>
      <c r="O38" s="97"/>
      <c r="P38" s="97"/>
      <c r="T38" s="97"/>
      <c r="U38" s="97"/>
      <c r="V38" s="97"/>
      <c r="Z38" s="97"/>
      <c r="AA38" s="97"/>
      <c r="AB38" s="97"/>
      <c r="AF38" s="97"/>
      <c r="AG38" s="97"/>
      <c r="AH38" s="97"/>
      <c r="AM38" s="97"/>
      <c r="AN38" s="97"/>
      <c r="AS38" s="97"/>
      <c r="AT38" s="97"/>
      <c r="AY38" s="97"/>
      <c r="AZ38" s="97"/>
      <c r="BE38" s="97"/>
      <c r="BF38" s="97"/>
    </row>
    <row r="39" spans="1:86" s="83" customFormat="1" x14ac:dyDescent="0.25">
      <c r="L39" s="97"/>
      <c r="N39" s="97"/>
      <c r="O39" s="97"/>
      <c r="P39" s="97"/>
      <c r="T39" s="97"/>
      <c r="U39" s="97"/>
      <c r="V39" s="97"/>
      <c r="Z39" s="97"/>
      <c r="AA39" s="97"/>
      <c r="AB39" s="97"/>
      <c r="AF39" s="97"/>
      <c r="AG39" s="97"/>
      <c r="AH39" s="97"/>
      <c r="AM39" s="97"/>
      <c r="AN39" s="97"/>
      <c r="AS39" s="97"/>
      <c r="AT39" s="97"/>
      <c r="AY39" s="97"/>
      <c r="AZ39" s="97"/>
      <c r="BE39" s="97"/>
      <c r="BF39" s="97"/>
    </row>
    <row r="40" spans="1:86" s="83" customFormat="1" ht="18.75" x14ac:dyDescent="0.3">
      <c r="A40" s="82" t="s">
        <v>135</v>
      </c>
      <c r="G40" s="84"/>
      <c r="I40" s="97"/>
      <c r="J40" s="97"/>
      <c r="K40" s="97"/>
      <c r="O40" s="97"/>
      <c r="P40" s="97"/>
      <c r="Q40" s="97"/>
      <c r="U40" s="97"/>
      <c r="V40" s="97"/>
      <c r="W40" s="97"/>
      <c r="AA40" s="97"/>
      <c r="AB40" s="97"/>
      <c r="AC40" s="97"/>
      <c r="AH40" s="97"/>
      <c r="AI40" s="97"/>
      <c r="AN40" s="97"/>
      <c r="AO40" s="97"/>
      <c r="AT40" s="97"/>
      <c r="AU40" s="97"/>
      <c r="AZ40" s="97"/>
      <c r="BA40" s="97"/>
    </row>
    <row r="41" spans="1:86" s="83" customFormat="1" x14ac:dyDescent="0.25">
      <c r="G41" s="1"/>
      <c r="J41" s="97"/>
    </row>
    <row r="42" spans="1:86" s="83" customFormat="1" x14ac:dyDescent="0.25">
      <c r="A42" s="83" t="s">
        <v>0</v>
      </c>
    </row>
    <row r="43" spans="1:86" s="83" customFormat="1" x14ac:dyDescent="0.25">
      <c r="B43" s="83" t="s">
        <v>1</v>
      </c>
    </row>
    <row r="44" spans="1:86" s="83" customFormat="1" x14ac:dyDescent="0.25">
      <c r="A44" s="119"/>
      <c r="B44" s="23" t="s">
        <v>45</v>
      </c>
      <c r="C44" s="87"/>
      <c r="D44" s="24" t="s">
        <v>46</v>
      </c>
      <c r="E44" s="24"/>
      <c r="F44" s="86"/>
      <c r="G44" s="86"/>
      <c r="H44" s="86"/>
      <c r="I44" s="86"/>
      <c r="J44" s="86"/>
      <c r="K44" s="86"/>
      <c r="L44" s="87"/>
      <c r="P44" s="23" t="s">
        <v>45</v>
      </c>
      <c r="Q44" s="86"/>
      <c r="R44" s="86"/>
      <c r="S44" s="86"/>
      <c r="T44" s="86"/>
      <c r="U44" s="86"/>
      <c r="V44" s="86"/>
      <c r="W44" s="86"/>
      <c r="X44" s="87"/>
      <c r="Y44" s="120"/>
      <c r="Z44" s="23" t="s">
        <v>46</v>
      </c>
      <c r="AA44" s="86"/>
      <c r="AB44" s="86"/>
      <c r="AC44" s="86"/>
      <c r="AD44" s="86"/>
      <c r="AE44" s="86"/>
      <c r="AF44" s="86"/>
      <c r="AG44" s="87"/>
      <c r="AH44" s="85"/>
      <c r="AI44" s="86"/>
      <c r="AJ44" s="86"/>
      <c r="AK44" s="86"/>
      <c r="AL44" s="86"/>
      <c r="AM44" s="86"/>
      <c r="AN44" s="87"/>
      <c r="AO44" s="85"/>
      <c r="AP44" s="86"/>
      <c r="AQ44" s="86"/>
      <c r="AR44" s="86"/>
      <c r="AS44" s="86"/>
      <c r="AT44" s="86"/>
      <c r="AU44" s="87"/>
      <c r="AV44" s="85"/>
      <c r="AW44" s="86"/>
      <c r="AX44" s="86"/>
      <c r="AY44" s="86"/>
      <c r="AZ44" s="86"/>
      <c r="BA44" s="86"/>
      <c r="BB44" s="87"/>
      <c r="BC44" s="85"/>
      <c r="BD44" s="86"/>
      <c r="BE44" s="86"/>
      <c r="BF44" s="86"/>
      <c r="BG44" s="86"/>
      <c r="BH44" s="86"/>
      <c r="BI44" s="86"/>
      <c r="BJ44" s="87"/>
      <c r="BK44" s="85"/>
      <c r="BL44" s="86"/>
      <c r="BM44" s="86"/>
      <c r="BN44" s="86"/>
      <c r="BO44" s="86"/>
      <c r="BP44" s="86"/>
      <c r="BQ44" s="86"/>
      <c r="BR44" s="87"/>
      <c r="BS44" s="85"/>
      <c r="BT44" s="86"/>
      <c r="BU44" s="86"/>
      <c r="BV44" s="86"/>
      <c r="BW44" s="86"/>
      <c r="BX44" s="86"/>
      <c r="BY44" s="86"/>
      <c r="BZ44" s="87"/>
      <c r="CA44" s="85"/>
      <c r="CB44" s="86"/>
      <c r="CC44" s="86"/>
      <c r="CD44" s="86"/>
      <c r="CE44" s="86"/>
      <c r="CF44" s="86"/>
      <c r="CG44" s="86"/>
      <c r="CH44" s="87"/>
    </row>
    <row r="45" spans="1:86" s="83" customFormat="1" x14ac:dyDescent="0.25">
      <c r="A45" s="121"/>
      <c r="B45" s="90" t="s">
        <v>2</v>
      </c>
      <c r="C45" s="98" t="s">
        <v>3</v>
      </c>
      <c r="D45" s="105" t="s">
        <v>2</v>
      </c>
      <c r="E45" s="97" t="s">
        <v>4</v>
      </c>
      <c r="F45" s="97" t="s">
        <v>5</v>
      </c>
      <c r="G45" s="97" t="s">
        <v>6</v>
      </c>
      <c r="H45" s="97" t="s">
        <v>7</v>
      </c>
      <c r="I45" s="97" t="s">
        <v>8</v>
      </c>
      <c r="J45" s="97" t="s">
        <v>9</v>
      </c>
      <c r="K45" s="97" t="s">
        <v>10</v>
      </c>
      <c r="L45" s="98" t="s">
        <v>47</v>
      </c>
      <c r="M45" s="97"/>
      <c r="P45" s="94"/>
      <c r="R45" s="84" t="s">
        <v>3</v>
      </c>
      <c r="S45" s="84"/>
      <c r="X45" s="96"/>
      <c r="Y45" s="122"/>
      <c r="Z45" s="94"/>
      <c r="AB45" s="84" t="s">
        <v>11</v>
      </c>
      <c r="AC45" s="84"/>
      <c r="AG45" s="96"/>
      <c r="AH45" s="123" t="s">
        <v>12</v>
      </c>
      <c r="AI45" s="84"/>
      <c r="AN45" s="96"/>
      <c r="AO45" s="123" t="s">
        <v>13</v>
      </c>
      <c r="AP45" s="84"/>
      <c r="AU45" s="96"/>
      <c r="AV45" s="123" t="s">
        <v>14</v>
      </c>
      <c r="AW45" s="84"/>
      <c r="BB45" s="96"/>
      <c r="BC45" s="94"/>
      <c r="BD45" s="84" t="s">
        <v>15</v>
      </c>
      <c r="BE45" s="84"/>
      <c r="BJ45" s="96"/>
      <c r="BK45" s="123" t="s">
        <v>48</v>
      </c>
      <c r="BL45" s="84"/>
      <c r="BR45" s="96"/>
      <c r="BS45" s="123" t="s">
        <v>16</v>
      </c>
      <c r="BT45" s="84"/>
      <c r="BZ45" s="96"/>
      <c r="CA45" s="123" t="s">
        <v>47</v>
      </c>
      <c r="CB45" s="84"/>
      <c r="CH45" s="96"/>
    </row>
    <row r="46" spans="1:86" s="83" customFormat="1" ht="18" x14ac:dyDescent="0.35">
      <c r="A46" s="121" t="s">
        <v>111</v>
      </c>
      <c r="B46" s="91">
        <f t="shared" ref="B46:B55" si="34">Q49</f>
        <v>72.853110923135944</v>
      </c>
      <c r="C46" s="93">
        <f t="shared" ref="C46:C56" si="35">AA49</f>
        <v>70.642508240826061</v>
      </c>
      <c r="D46" s="124">
        <v>70.642508240826061</v>
      </c>
      <c r="E46" s="92">
        <f t="shared" ref="E46:E56" si="36">AG49</f>
        <v>70.420751010557865</v>
      </c>
      <c r="F46" s="92">
        <f t="shared" ref="F46:F56" si="37">AN49</f>
        <v>70.5286319697409</v>
      </c>
      <c r="G46" s="92">
        <f t="shared" ref="G46:G56" si="38">AU49</f>
        <v>70.714553032668803</v>
      </c>
      <c r="H46" s="92">
        <f t="shared" ref="H46:H56" si="39">BB49</f>
        <v>70.701240526342374</v>
      </c>
      <c r="I46" s="92">
        <f t="shared" ref="I46:I56" si="40">BJ49</f>
        <v>71.12127243602967</v>
      </c>
      <c r="J46" s="92">
        <f t="shared" ref="J46:J56" si="41">BR49</f>
        <v>73.818120227775594</v>
      </c>
      <c r="K46" s="92">
        <f t="shared" ref="K46:K55" si="42">BZ49</f>
        <v>75.708646844278405</v>
      </c>
      <c r="L46" s="93">
        <f t="shared" ref="L46:L55" si="43">CH49</f>
        <v>78.69672566351521</v>
      </c>
      <c r="M46" s="92"/>
      <c r="P46" s="85"/>
      <c r="Q46" s="86"/>
      <c r="R46" s="25">
        <f>SUM(R47:S47,T47,U47)</f>
        <v>0.52500000000000002</v>
      </c>
      <c r="S46" s="86" t="s">
        <v>17</v>
      </c>
      <c r="T46" s="26"/>
      <c r="U46" s="26"/>
      <c r="V46" s="86"/>
      <c r="W46" s="87" t="s">
        <v>49</v>
      </c>
      <c r="X46" s="109" t="s">
        <v>21</v>
      </c>
      <c r="Y46" s="125"/>
      <c r="Z46" s="85"/>
      <c r="AA46" s="86" t="s">
        <v>18</v>
      </c>
      <c r="AB46" s="27">
        <f>SUM(AB47:AC47,AD47)</f>
        <v>0.115</v>
      </c>
      <c r="AC46" s="86" t="s">
        <v>17</v>
      </c>
      <c r="AD46" s="26"/>
      <c r="AE46" s="86"/>
      <c r="AF46" s="86"/>
      <c r="AG46" s="87"/>
      <c r="AH46" s="25">
        <f>SUM(AH47:AI47,AJ47)</f>
        <v>0.1</v>
      </c>
      <c r="AI46" s="86" t="s">
        <v>17</v>
      </c>
      <c r="AJ46" s="26"/>
      <c r="AK46" s="26"/>
      <c r="AL46" s="86"/>
      <c r="AM46" s="86"/>
      <c r="AN46" s="87"/>
      <c r="AO46" s="25">
        <f>SUM(AO47:AP47,AQ47)</f>
        <v>0.115</v>
      </c>
      <c r="AP46" s="86" t="s">
        <v>17</v>
      </c>
      <c r="AQ46" s="26"/>
      <c r="AR46" s="26"/>
      <c r="AS46" s="86"/>
      <c r="AT46" s="86"/>
      <c r="AU46" s="87"/>
      <c r="AV46" s="25">
        <f>SUM(AV47:AW47,AX47)</f>
        <v>0.1</v>
      </c>
      <c r="AW46" s="86" t="s">
        <v>17</v>
      </c>
      <c r="AX46" s="26"/>
      <c r="AY46" s="26"/>
      <c r="AZ46" s="86"/>
      <c r="BA46" s="86"/>
      <c r="BB46" s="87"/>
      <c r="BC46" s="85"/>
      <c r="BD46" s="27">
        <f>SUM(BD47:BE47,BG47)</f>
        <v>9.7500000000000003E-2</v>
      </c>
      <c r="BE46" s="86" t="s">
        <v>17</v>
      </c>
      <c r="BF46" s="26"/>
      <c r="BG46" s="26"/>
      <c r="BH46" s="86"/>
      <c r="BI46" s="86"/>
      <c r="BJ46" s="87"/>
      <c r="BK46" s="25">
        <f>SUM(BK47:BL47,BN47)</f>
        <v>0.105</v>
      </c>
      <c r="BL46" s="86" t="s">
        <v>17</v>
      </c>
      <c r="BM46" s="26"/>
      <c r="BN46" s="26"/>
      <c r="BO46" s="26"/>
      <c r="BP46" s="86"/>
      <c r="BQ46" s="86"/>
      <c r="BR46" s="87"/>
      <c r="BS46" s="25">
        <f>SUM(BS47:BT47,BV47)</f>
        <v>9.7500000000000003E-2</v>
      </c>
      <c r="BT46" s="86" t="s">
        <v>17</v>
      </c>
      <c r="BU46" s="26"/>
      <c r="BV46" s="26"/>
      <c r="BW46" s="26"/>
      <c r="BX46" s="86"/>
      <c r="BY46" s="86"/>
      <c r="BZ46" s="87"/>
      <c r="CA46" s="25">
        <f>SUM(CA47:CB47,CD47)</f>
        <v>0.1</v>
      </c>
      <c r="CB46" s="86" t="s">
        <v>17</v>
      </c>
      <c r="CC46" s="26"/>
      <c r="CD46" s="26"/>
      <c r="CE46" s="26"/>
      <c r="CF46" s="86"/>
      <c r="CG46" s="86"/>
      <c r="CH46" s="87"/>
    </row>
    <row r="47" spans="1:86" s="83" customFormat="1" ht="18" x14ac:dyDescent="0.35">
      <c r="A47" s="121" t="s">
        <v>112</v>
      </c>
      <c r="B47" s="90">
        <f t="shared" si="34"/>
        <v>0.36041566006498538</v>
      </c>
      <c r="C47" s="98">
        <f t="shared" si="35"/>
        <v>0.75876981066312688</v>
      </c>
      <c r="D47" s="105">
        <v>0.75876981066312688</v>
      </c>
      <c r="E47" s="97">
        <f t="shared" si="36"/>
        <v>0.85736701769844859</v>
      </c>
      <c r="F47" s="97">
        <f t="shared" si="37"/>
        <v>0.97428070193005534</v>
      </c>
      <c r="G47" s="97">
        <f t="shared" si="38"/>
        <v>1.1263360715954391</v>
      </c>
      <c r="H47" s="97">
        <f t="shared" si="39"/>
        <v>1.2947251852891095</v>
      </c>
      <c r="I47" s="97">
        <f t="shared" si="40"/>
        <v>1.4506724765144083</v>
      </c>
      <c r="J47" s="97">
        <f t="shared" si="41"/>
        <v>1.7148677950849127</v>
      </c>
      <c r="K47" s="92">
        <f t="shared" si="42"/>
        <v>2.063307068189816</v>
      </c>
      <c r="L47" s="93">
        <f t="shared" si="43"/>
        <v>2.6024626839982101</v>
      </c>
      <c r="M47" s="97"/>
      <c r="P47" s="94"/>
      <c r="Q47" s="83" t="s">
        <v>18</v>
      </c>
      <c r="R47" s="126">
        <v>0.155</v>
      </c>
      <c r="S47" s="127">
        <v>0.16</v>
      </c>
      <c r="T47" s="127">
        <v>0.155</v>
      </c>
      <c r="U47" s="127">
        <v>5.5E-2</v>
      </c>
      <c r="V47" s="97" t="s">
        <v>19</v>
      </c>
      <c r="W47" s="98" t="s">
        <v>23</v>
      </c>
      <c r="X47" s="98" t="s">
        <v>23</v>
      </c>
      <c r="Y47" s="125"/>
      <c r="Z47" s="94"/>
      <c r="AA47" s="83" t="s">
        <v>23</v>
      </c>
      <c r="AB47" s="127">
        <v>4.4999999999999998E-2</v>
      </c>
      <c r="AC47" s="127">
        <v>0.05</v>
      </c>
      <c r="AD47" s="127">
        <v>0.02</v>
      </c>
      <c r="AE47" s="97" t="s">
        <v>19</v>
      </c>
      <c r="AF47" s="97" t="s">
        <v>20</v>
      </c>
      <c r="AG47" s="98" t="s">
        <v>21</v>
      </c>
      <c r="AH47" s="126">
        <v>0.04</v>
      </c>
      <c r="AI47" s="127">
        <v>0.04</v>
      </c>
      <c r="AJ47" s="127">
        <v>0.02</v>
      </c>
      <c r="AK47" s="127">
        <v>0.02</v>
      </c>
      <c r="AL47" s="97" t="s">
        <v>19</v>
      </c>
      <c r="AM47" s="97" t="s">
        <v>20</v>
      </c>
      <c r="AN47" s="98" t="s">
        <v>21</v>
      </c>
      <c r="AO47" s="126">
        <v>4.4999999999999998E-2</v>
      </c>
      <c r="AP47" s="127">
        <v>0.05</v>
      </c>
      <c r="AQ47" s="127">
        <v>0.02</v>
      </c>
      <c r="AR47" s="127">
        <v>0.02</v>
      </c>
      <c r="AS47" s="97" t="s">
        <v>19</v>
      </c>
      <c r="AT47" s="97" t="s">
        <v>20</v>
      </c>
      <c r="AU47" s="98" t="s">
        <v>21</v>
      </c>
      <c r="AV47" s="126">
        <v>0.04</v>
      </c>
      <c r="AW47" s="127">
        <v>0.04</v>
      </c>
      <c r="AX47" s="127">
        <v>0.02</v>
      </c>
      <c r="AY47" s="127">
        <v>1.2500000000000001E-2</v>
      </c>
      <c r="AZ47" s="97" t="s">
        <v>19</v>
      </c>
      <c r="BA47" s="97" t="s">
        <v>20</v>
      </c>
      <c r="BB47" s="98" t="s">
        <v>21</v>
      </c>
      <c r="BC47" s="94"/>
      <c r="BD47" s="127">
        <v>0.04</v>
      </c>
      <c r="BE47" s="127">
        <v>0.04</v>
      </c>
      <c r="BF47" s="127">
        <v>0.01</v>
      </c>
      <c r="BG47" s="127">
        <v>1.7500000000000002E-2</v>
      </c>
      <c r="BH47" s="97" t="s">
        <v>19</v>
      </c>
      <c r="BI47" s="97" t="s">
        <v>20</v>
      </c>
      <c r="BJ47" s="98" t="s">
        <v>21</v>
      </c>
      <c r="BK47" s="126">
        <v>0.05</v>
      </c>
      <c r="BL47" s="127">
        <v>0.04</v>
      </c>
      <c r="BM47" s="127">
        <v>0.01</v>
      </c>
      <c r="BN47" s="127">
        <v>1.4999999999999999E-2</v>
      </c>
      <c r="BO47" s="127">
        <v>2.2499999999999999E-2</v>
      </c>
      <c r="BP47" s="97" t="s">
        <v>19</v>
      </c>
      <c r="BQ47" s="97" t="s">
        <v>20</v>
      </c>
      <c r="BR47" s="98" t="s">
        <v>21</v>
      </c>
      <c r="BS47" s="126">
        <v>0.04</v>
      </c>
      <c r="BT47" s="127">
        <v>0.04</v>
      </c>
      <c r="BU47" s="127">
        <v>0.02</v>
      </c>
      <c r="BV47" s="127">
        <v>1.7500000000000002E-2</v>
      </c>
      <c r="BW47" s="127">
        <v>0.01</v>
      </c>
      <c r="BX47" s="97" t="s">
        <v>19</v>
      </c>
      <c r="BY47" s="97" t="s">
        <v>20</v>
      </c>
      <c r="BZ47" s="98" t="s">
        <v>21</v>
      </c>
      <c r="CA47" s="126">
        <v>0.04</v>
      </c>
      <c r="CB47" s="127">
        <v>0.04</v>
      </c>
      <c r="CC47" s="127">
        <v>0.02</v>
      </c>
      <c r="CD47" s="127">
        <v>0.02</v>
      </c>
      <c r="CE47" s="127">
        <v>0.01</v>
      </c>
      <c r="CF47" s="97" t="s">
        <v>19</v>
      </c>
      <c r="CG47" s="97" t="s">
        <v>20</v>
      </c>
      <c r="CH47" s="98" t="s">
        <v>21</v>
      </c>
    </row>
    <row r="48" spans="1:86" s="83" customFormat="1" ht="18" x14ac:dyDescent="0.35">
      <c r="A48" s="121" t="s">
        <v>113</v>
      </c>
      <c r="B48" s="90">
        <f t="shared" si="34"/>
        <v>11.375056405926856</v>
      </c>
      <c r="C48" s="98">
        <f t="shared" si="35"/>
        <v>11.040506093906775</v>
      </c>
      <c r="D48" s="105">
        <v>11.040506093906775</v>
      </c>
      <c r="E48" s="97">
        <f t="shared" si="36"/>
        <v>10.381470158608948</v>
      </c>
      <c r="F48" s="97">
        <f t="shared" si="37"/>
        <v>10.029393358839393</v>
      </c>
      <c r="G48" s="97">
        <f t="shared" si="38"/>
        <v>9.4525876939902105</v>
      </c>
      <c r="H48" s="97">
        <f t="shared" si="39"/>
        <v>8.798517411921928</v>
      </c>
      <c r="I48" s="97">
        <f t="shared" si="40"/>
        <v>8.1153091418393775</v>
      </c>
      <c r="J48" s="97">
        <f t="shared" si="41"/>
        <v>7.2902111341210034</v>
      </c>
      <c r="K48" s="92">
        <f t="shared" si="42"/>
        <v>6.2924388899300023</v>
      </c>
      <c r="L48" s="93">
        <f t="shared" si="43"/>
        <v>4.8098520615091305</v>
      </c>
      <c r="M48" s="97"/>
      <c r="P48" s="108" t="s">
        <v>22</v>
      </c>
      <c r="Q48" s="100" t="s">
        <v>23</v>
      </c>
      <c r="R48" s="108" t="s">
        <v>24</v>
      </c>
      <c r="S48" s="110" t="s">
        <v>25</v>
      </c>
      <c r="T48" s="110" t="s">
        <v>50</v>
      </c>
      <c r="U48" s="110" t="s">
        <v>51</v>
      </c>
      <c r="V48" s="110" t="s">
        <v>26</v>
      </c>
      <c r="W48" s="111" t="s">
        <v>27</v>
      </c>
      <c r="X48" s="111" t="s">
        <v>52</v>
      </c>
      <c r="Y48" s="125"/>
      <c r="Z48" s="108" t="s">
        <v>28</v>
      </c>
      <c r="AA48" s="110" t="s">
        <v>53</v>
      </c>
      <c r="AB48" s="110" t="s">
        <v>24</v>
      </c>
      <c r="AC48" s="110" t="s">
        <v>25</v>
      </c>
      <c r="AD48" s="110" t="s">
        <v>50</v>
      </c>
      <c r="AE48" s="110" t="s">
        <v>26</v>
      </c>
      <c r="AF48" s="110" t="s">
        <v>27</v>
      </c>
      <c r="AG48" s="111" t="s">
        <v>23</v>
      </c>
      <c r="AH48" s="108" t="s">
        <v>24</v>
      </c>
      <c r="AI48" s="110" t="s">
        <v>25</v>
      </c>
      <c r="AJ48" s="110" t="s">
        <v>50</v>
      </c>
      <c r="AK48" s="110" t="s">
        <v>51</v>
      </c>
      <c r="AL48" s="110" t="s">
        <v>26</v>
      </c>
      <c r="AM48" s="110" t="s">
        <v>27</v>
      </c>
      <c r="AN48" s="111" t="s">
        <v>23</v>
      </c>
      <c r="AO48" s="108" t="s">
        <v>24</v>
      </c>
      <c r="AP48" s="110" t="s">
        <v>25</v>
      </c>
      <c r="AQ48" s="110" t="s">
        <v>50</v>
      </c>
      <c r="AR48" s="110" t="s">
        <v>51</v>
      </c>
      <c r="AS48" s="110" t="s">
        <v>26</v>
      </c>
      <c r="AT48" s="110" t="s">
        <v>27</v>
      </c>
      <c r="AU48" s="111" t="s">
        <v>23</v>
      </c>
      <c r="AV48" s="108" t="s">
        <v>24</v>
      </c>
      <c r="AW48" s="110" t="s">
        <v>25</v>
      </c>
      <c r="AX48" s="110" t="s">
        <v>50</v>
      </c>
      <c r="AY48" s="110" t="s">
        <v>51</v>
      </c>
      <c r="AZ48" s="110" t="s">
        <v>26</v>
      </c>
      <c r="BA48" s="110" t="s">
        <v>27</v>
      </c>
      <c r="BB48" s="111" t="s">
        <v>23</v>
      </c>
      <c r="BC48" s="28" t="s">
        <v>28</v>
      </c>
      <c r="BD48" s="110" t="s">
        <v>24</v>
      </c>
      <c r="BE48" s="110" t="s">
        <v>25</v>
      </c>
      <c r="BF48" s="110" t="s">
        <v>50</v>
      </c>
      <c r="BG48" s="110" t="s">
        <v>51</v>
      </c>
      <c r="BH48" s="110" t="s">
        <v>26</v>
      </c>
      <c r="BI48" s="110" t="s">
        <v>27</v>
      </c>
      <c r="BJ48" s="111" t="s">
        <v>23</v>
      </c>
      <c r="BK48" s="108" t="s">
        <v>24</v>
      </c>
      <c r="BL48" s="110" t="s">
        <v>25</v>
      </c>
      <c r="BM48" s="110" t="s">
        <v>50</v>
      </c>
      <c r="BN48" s="110" t="s">
        <v>51</v>
      </c>
      <c r="BO48" s="110" t="s">
        <v>54</v>
      </c>
      <c r="BP48" s="110" t="s">
        <v>26</v>
      </c>
      <c r="BQ48" s="110" t="s">
        <v>27</v>
      </c>
      <c r="BR48" s="111" t="s">
        <v>23</v>
      </c>
      <c r="BS48" s="108" t="s">
        <v>24</v>
      </c>
      <c r="BT48" s="110" t="s">
        <v>25</v>
      </c>
      <c r="BU48" s="110" t="s">
        <v>50</v>
      </c>
      <c r="BV48" s="110" t="s">
        <v>51</v>
      </c>
      <c r="BW48" s="110" t="s">
        <v>54</v>
      </c>
      <c r="BX48" s="110" t="s">
        <v>26</v>
      </c>
      <c r="BY48" s="110" t="s">
        <v>27</v>
      </c>
      <c r="BZ48" s="111" t="s">
        <v>23</v>
      </c>
      <c r="CA48" s="108" t="s">
        <v>24</v>
      </c>
      <c r="CB48" s="110" t="s">
        <v>25</v>
      </c>
      <c r="CC48" s="110" t="s">
        <v>50</v>
      </c>
      <c r="CD48" s="110" t="s">
        <v>51</v>
      </c>
      <c r="CE48" s="110" t="s">
        <v>54</v>
      </c>
      <c r="CF48" s="110" t="s">
        <v>26</v>
      </c>
      <c r="CG48" s="110" t="s">
        <v>27</v>
      </c>
      <c r="CH48" s="111" t="s">
        <v>23</v>
      </c>
    </row>
    <row r="49" spans="1:86" s="83" customFormat="1" ht="18" x14ac:dyDescent="0.35">
      <c r="A49" s="121" t="s">
        <v>114</v>
      </c>
      <c r="B49" s="90">
        <f t="shared" si="34"/>
        <v>5.1647880572785434</v>
      </c>
      <c r="C49" s="98">
        <f t="shared" si="35"/>
        <v>6.87155380479693</v>
      </c>
      <c r="D49" s="105">
        <v>6.87155380479693</v>
      </c>
      <c r="E49" s="97">
        <f t="shared" si="36"/>
        <v>7.7644675760417297</v>
      </c>
      <c r="F49" s="97">
        <f t="shared" si="37"/>
        <v>8.0378040636837849</v>
      </c>
      <c r="G49" s="97">
        <f t="shared" si="38"/>
        <v>8.493183888651771</v>
      </c>
      <c r="H49" s="97">
        <f t="shared" si="39"/>
        <v>9.188842609546553</v>
      </c>
      <c r="I49" s="97">
        <f t="shared" si="40"/>
        <v>9.6179749126572016</v>
      </c>
      <c r="J49" s="97">
        <f t="shared" si="41"/>
        <v>7.7028378934391393</v>
      </c>
      <c r="K49" s="92">
        <f t="shared" si="42"/>
        <v>6.7105061506717965</v>
      </c>
      <c r="L49" s="93">
        <f t="shared" si="43"/>
        <v>5.0646082603950804</v>
      </c>
      <c r="M49" s="97"/>
      <c r="P49" s="106" t="s">
        <v>55</v>
      </c>
      <c r="Q49" s="26">
        <v>72.853110923135944</v>
      </c>
      <c r="R49" s="106">
        <v>64.760000000000005</v>
      </c>
      <c r="S49" s="86">
        <v>68.118871929647213</v>
      </c>
      <c r="T49" s="107">
        <v>100</v>
      </c>
      <c r="U49" s="107">
        <v>52.02</v>
      </c>
      <c r="V49" s="107">
        <f t="shared" ref="V49:V58" si="44">(S49*$S$47)+(R49*$R$47)+(T49*$T$47)+(U49*$U$47)</f>
        <v>39.297919508743554</v>
      </c>
      <c r="W49" s="29">
        <f t="shared" ref="W49:W58" si="45">Q49-V49</f>
        <v>33.55519141439239</v>
      </c>
      <c r="X49" s="29">
        <f>W49/$W$59*100</f>
        <v>70.642508240826061</v>
      </c>
      <c r="Y49" s="30"/>
      <c r="Z49" s="90" t="s">
        <v>55</v>
      </c>
      <c r="AA49" s="31">
        <f>X49</f>
        <v>70.642508240826061</v>
      </c>
      <c r="AB49" s="97">
        <v>64.760000000000005</v>
      </c>
      <c r="AC49" s="83">
        <v>68.118871929647213</v>
      </c>
      <c r="AD49" s="97">
        <v>100</v>
      </c>
      <c r="AE49" s="97">
        <f t="shared" ref="AE49:AE58" si="46">(AC49*$AC$47)+(AB49*$AB$47)+(AD49*$AD$47)</f>
        <v>8.3201435964823602</v>
      </c>
      <c r="AF49" s="31">
        <f t="shared" ref="AF49:AF58" si="47">AA49-AE49</f>
        <v>62.3223646443437</v>
      </c>
      <c r="AG49" s="32">
        <f t="shared" ref="AG49:AG58" si="48">AF49/$AF$59*100</f>
        <v>70.420751010557865</v>
      </c>
      <c r="AH49" s="90">
        <v>64.760000000000005</v>
      </c>
      <c r="AI49" s="83">
        <v>68.118871929647213</v>
      </c>
      <c r="AJ49" s="97">
        <v>100</v>
      </c>
      <c r="AK49" s="97">
        <v>52.02</v>
      </c>
      <c r="AL49" s="97">
        <f t="shared" ref="AL49:AL58" si="49">(AI49*$AI$47)+(AH49*$AH$47)+(AJ49*$AJ$47)+(AK49*$AK$47)</f>
        <v>8.3555548771858881</v>
      </c>
      <c r="AM49" s="31">
        <f t="shared" ref="AM49:AM58" si="50">AG49-AL49</f>
        <v>62.065196133371977</v>
      </c>
      <c r="AN49" s="32">
        <f t="shared" ref="AN49:AN58" si="51">AM49/$AM$59*100</f>
        <v>70.5286319697409</v>
      </c>
      <c r="AO49" s="90">
        <v>64.760000000000005</v>
      </c>
      <c r="AP49" s="97">
        <v>68.118871929647213</v>
      </c>
      <c r="AQ49" s="97">
        <v>100</v>
      </c>
      <c r="AR49" s="97">
        <v>52.02</v>
      </c>
      <c r="AS49" s="97">
        <f t="shared" ref="AS49:AS58" si="52">(AP49*$AP$47)+(AO49*$AO$47)+(AQ49*$AQ$47)+(AR49*$AR$47)</f>
        <v>9.3605435964823602</v>
      </c>
      <c r="AT49" s="31">
        <f t="shared" ref="AT49:AT58" si="53">AN49-AS49</f>
        <v>61.168088373258541</v>
      </c>
      <c r="AU49" s="32">
        <f t="shared" ref="AU49:AU58" si="54">AT49/$AT$59*100</f>
        <v>70.714553032668803</v>
      </c>
      <c r="AV49" s="90">
        <v>64.760000000000005</v>
      </c>
      <c r="AW49" s="97">
        <v>68.118871929647213</v>
      </c>
      <c r="AX49" s="97">
        <v>100</v>
      </c>
      <c r="AY49" s="97">
        <v>52.02</v>
      </c>
      <c r="AZ49" s="97">
        <f t="shared" ref="AZ49:AZ58" si="55">(AW49*$AW$47)+(AV49*$AV$47)+(AY49*$AY$47)+(AX49*$AX$47)</f>
        <v>7.9654048771858887</v>
      </c>
      <c r="BA49" s="31">
        <f t="shared" ref="BA49:BA58" si="56">AT49-AZ49</f>
        <v>53.202683496072652</v>
      </c>
      <c r="BB49" s="32">
        <f t="shared" ref="BB49:BB58" si="57">BA49/$BA$59*100</f>
        <v>70.701240526342374</v>
      </c>
      <c r="BC49" s="33" t="s">
        <v>56</v>
      </c>
      <c r="BD49" s="97">
        <v>64.760000000000005</v>
      </c>
      <c r="BE49" s="97">
        <v>68.118871929647213</v>
      </c>
      <c r="BF49" s="97">
        <v>100</v>
      </c>
      <c r="BG49" s="97">
        <v>52.02</v>
      </c>
      <c r="BH49" s="97">
        <f t="shared" ref="BH49:BH58" si="58">(BE49*$BE$47)+(BD49*$BD$47)+(BG49*$BG$47)+(BF49*$BF$47)</f>
        <v>7.2255048771858892</v>
      </c>
      <c r="BI49" s="31">
        <f t="shared" ref="BI49:BI58" si="59">BB49-BH49</f>
        <v>63.475735649156483</v>
      </c>
      <c r="BJ49" s="32">
        <f t="shared" ref="BJ49:BJ58" si="60">BI49/$BI$59*100</f>
        <v>71.12127243602967</v>
      </c>
      <c r="BK49" s="90">
        <v>64.760000000000005</v>
      </c>
      <c r="BL49" s="97">
        <v>68.118871929647213</v>
      </c>
      <c r="BM49" s="97">
        <v>100</v>
      </c>
      <c r="BN49" s="97">
        <v>52.02</v>
      </c>
      <c r="BO49" s="97"/>
      <c r="BP49" s="97">
        <f t="shared" ref="BP49:BP58" si="61">(BL49*$BL$47)+(BK49*$BK$47)+(BN49*$BN$47)+(BM49*$BM$47)+(BO49*$BO$47)</f>
        <v>7.7430548771858891</v>
      </c>
      <c r="BQ49" s="31">
        <f t="shared" ref="BQ49:BQ58" si="62">BI49-BP49</f>
        <v>55.732680771970593</v>
      </c>
      <c r="BR49" s="32">
        <f t="shared" ref="BR49:BR58" si="63">BQ49/$BQ$59*100</f>
        <v>73.818120227775594</v>
      </c>
      <c r="BS49" s="90">
        <v>64.760000000000005</v>
      </c>
      <c r="BT49" s="97">
        <v>68.118871929647213</v>
      </c>
      <c r="BU49" s="97">
        <v>100</v>
      </c>
      <c r="BV49" s="97">
        <v>52.02</v>
      </c>
      <c r="BW49" s="97"/>
      <c r="BX49" s="97">
        <f t="shared" ref="BX49:BX58" si="64">(BT49*$BT$47)+(BS49*$BS$47)+(BV49*$BV$47)+(BU49*$BU$47)+(BW49*$BW$47)</f>
        <v>8.2255048771858892</v>
      </c>
      <c r="BY49" s="31">
        <f t="shared" ref="BY49:BY58" si="65">BQ49-BX49</f>
        <v>47.507175894784702</v>
      </c>
      <c r="BZ49" s="32">
        <f t="shared" ref="BZ49:BZ58" si="66">BY49/$BY$59*100</f>
        <v>75.708646844278405</v>
      </c>
      <c r="CA49" s="90">
        <v>64.760000000000005</v>
      </c>
      <c r="CB49" s="97">
        <v>68.118871929647213</v>
      </c>
      <c r="CC49" s="97">
        <v>100</v>
      </c>
      <c r="CD49" s="97">
        <v>52.02</v>
      </c>
      <c r="CE49" s="97"/>
      <c r="CF49" s="97">
        <f t="shared" ref="CF49:CF58" si="67">(CB49*$CB$47)+(CA49*$CA$47)+(CD49*$CD$47)+(CC49*$CC$47)+(CE49*$CE$47)</f>
        <v>8.3555548771858881</v>
      </c>
      <c r="CG49" s="31">
        <f t="shared" ref="CG49:CG58" si="68">BY49-CF49</f>
        <v>39.151621017598814</v>
      </c>
      <c r="CH49" s="32">
        <f t="shared" ref="CH49:CH58" si="69">CG49/$CG$59*100</f>
        <v>78.69672566351521</v>
      </c>
    </row>
    <row r="50" spans="1:86" s="83" customFormat="1" ht="18" x14ac:dyDescent="0.35">
      <c r="A50" s="121" t="s">
        <v>30</v>
      </c>
      <c r="B50" s="90">
        <f t="shared" si="34"/>
        <v>0.11276523431310569</v>
      </c>
      <c r="C50" s="98">
        <f t="shared" si="35"/>
        <v>0.23740049329074872</v>
      </c>
      <c r="D50" s="105">
        <v>0.23740049329074872</v>
      </c>
      <c r="E50" s="97">
        <f t="shared" si="36"/>
        <v>0.26824914496129804</v>
      </c>
      <c r="F50" s="97">
        <f t="shared" si="37"/>
        <v>0.30482857381965689</v>
      </c>
      <c r="G50" s="97">
        <f t="shared" si="38"/>
        <v>0.35240297551405403</v>
      </c>
      <c r="H50" s="97">
        <f t="shared" si="39"/>
        <v>0.4050878057404077</v>
      </c>
      <c r="I50" s="97">
        <f t="shared" si="40"/>
        <v>0.45387989438701143</v>
      </c>
      <c r="J50" s="97">
        <f t="shared" si="41"/>
        <v>0.53654014005351991</v>
      </c>
      <c r="K50" s="92">
        <f t="shared" si="42"/>
        <v>0.64555825616001228</v>
      </c>
      <c r="L50" s="93">
        <f t="shared" si="43"/>
        <v>0.81424684570936234</v>
      </c>
      <c r="M50" s="97"/>
      <c r="P50" s="90" t="s">
        <v>57</v>
      </c>
      <c r="Q50" s="31">
        <v>0.36041566006498538</v>
      </c>
      <c r="R50" s="90"/>
      <c r="T50" s="97"/>
      <c r="U50" s="97"/>
      <c r="V50" s="97">
        <f t="shared" si="44"/>
        <v>0</v>
      </c>
      <c r="W50" s="32">
        <f t="shared" si="45"/>
        <v>0.36041566006498538</v>
      </c>
      <c r="X50" s="32">
        <f t="shared" ref="X50:X58" si="70">W50/$W$59*100</f>
        <v>0.75876981066312688</v>
      </c>
      <c r="Y50" s="30"/>
      <c r="Z50" s="90" t="s">
        <v>57</v>
      </c>
      <c r="AA50" s="31">
        <f t="shared" ref="AA50:AA58" si="71">X50</f>
        <v>0.75876981066312688</v>
      </c>
      <c r="AB50" s="97"/>
      <c r="AD50" s="97"/>
      <c r="AE50" s="97">
        <f t="shared" si="46"/>
        <v>0</v>
      </c>
      <c r="AF50" s="31">
        <f t="shared" si="47"/>
        <v>0.75876981066312688</v>
      </c>
      <c r="AG50" s="32">
        <f t="shared" si="48"/>
        <v>0.85736701769844859</v>
      </c>
      <c r="AH50" s="90"/>
      <c r="AJ50" s="97"/>
      <c r="AK50" s="97"/>
      <c r="AL50" s="97">
        <f t="shared" si="49"/>
        <v>0</v>
      </c>
      <c r="AM50" s="31">
        <f t="shared" si="50"/>
        <v>0.85736701769844859</v>
      </c>
      <c r="AN50" s="32">
        <f t="shared" si="51"/>
        <v>0.97428070193005534</v>
      </c>
      <c r="AO50" s="90"/>
      <c r="AP50" s="97"/>
      <c r="AQ50" s="97"/>
      <c r="AR50" s="97"/>
      <c r="AS50" s="97">
        <f t="shared" si="52"/>
        <v>0</v>
      </c>
      <c r="AT50" s="31">
        <f t="shared" si="53"/>
        <v>0.97428070193005534</v>
      </c>
      <c r="AU50" s="32">
        <f t="shared" si="54"/>
        <v>1.1263360715954391</v>
      </c>
      <c r="AV50" s="90"/>
      <c r="AW50" s="97"/>
      <c r="AX50" s="97"/>
      <c r="AY50" s="97"/>
      <c r="AZ50" s="97">
        <f t="shared" si="55"/>
        <v>0</v>
      </c>
      <c r="BA50" s="31">
        <f t="shared" si="56"/>
        <v>0.97428070193005534</v>
      </c>
      <c r="BB50" s="32">
        <f t="shared" si="57"/>
        <v>1.2947251852891095</v>
      </c>
      <c r="BC50" s="33" t="s">
        <v>58</v>
      </c>
      <c r="BD50" s="97"/>
      <c r="BE50" s="97"/>
      <c r="BF50" s="97"/>
      <c r="BG50" s="97"/>
      <c r="BH50" s="97">
        <f t="shared" si="58"/>
        <v>0</v>
      </c>
      <c r="BI50" s="31">
        <f t="shared" si="59"/>
        <v>1.2947251852891095</v>
      </c>
      <c r="BJ50" s="32">
        <f t="shared" si="60"/>
        <v>1.4506724765144083</v>
      </c>
      <c r="BK50" s="90"/>
      <c r="BL50" s="97"/>
      <c r="BM50" s="97"/>
      <c r="BN50" s="97"/>
      <c r="BO50" s="97"/>
      <c r="BP50" s="97">
        <f t="shared" si="61"/>
        <v>0</v>
      </c>
      <c r="BQ50" s="31">
        <f t="shared" si="62"/>
        <v>1.2947251852891095</v>
      </c>
      <c r="BR50" s="32">
        <f t="shared" si="63"/>
        <v>1.7148677950849127</v>
      </c>
      <c r="BS50" s="90"/>
      <c r="BT50" s="97"/>
      <c r="BU50" s="97"/>
      <c r="BV50" s="97"/>
      <c r="BW50" s="97"/>
      <c r="BX50" s="97">
        <f t="shared" si="64"/>
        <v>0</v>
      </c>
      <c r="BY50" s="31">
        <f t="shared" si="65"/>
        <v>1.2947251852891095</v>
      </c>
      <c r="BZ50" s="32">
        <f t="shared" si="66"/>
        <v>2.063307068189816</v>
      </c>
      <c r="CA50" s="90"/>
      <c r="CB50" s="97"/>
      <c r="CC50" s="97"/>
      <c r="CD50" s="97"/>
      <c r="CE50" s="97"/>
      <c r="CF50" s="97">
        <f t="shared" si="67"/>
        <v>0</v>
      </c>
      <c r="CG50" s="31">
        <f t="shared" si="68"/>
        <v>1.2947251852891095</v>
      </c>
      <c r="CH50" s="32">
        <f t="shared" si="69"/>
        <v>2.6024626839982101</v>
      </c>
    </row>
    <row r="51" spans="1:86" s="83" customFormat="1" ht="18" x14ac:dyDescent="0.35">
      <c r="A51" s="121" t="s">
        <v>32</v>
      </c>
      <c r="B51" s="90">
        <f t="shared" si="34"/>
        <v>0.12766028321017062</v>
      </c>
      <c r="C51" s="98">
        <f t="shared" si="35"/>
        <v>0.26875849096878013</v>
      </c>
      <c r="D51" s="105">
        <v>0.26875849096878013</v>
      </c>
      <c r="E51" s="97">
        <f t="shared" si="36"/>
        <v>0.30368191069918665</v>
      </c>
      <c r="F51" s="97">
        <f t="shared" si="37"/>
        <v>0.34509308033998487</v>
      </c>
      <c r="G51" s="97">
        <f t="shared" si="38"/>
        <v>0.39895153796530025</v>
      </c>
      <c r="H51" s="97">
        <f t="shared" si="39"/>
        <v>0.4585954556013086</v>
      </c>
      <c r="I51" s="97">
        <f t="shared" si="40"/>
        <v>0.51383244325076594</v>
      </c>
      <c r="J51" s="97">
        <f t="shared" si="41"/>
        <v>0.60741119947193167</v>
      </c>
      <c r="K51" s="92">
        <f t="shared" si="42"/>
        <v>0.73082941131682644</v>
      </c>
      <c r="L51" s="93">
        <f t="shared" si="43"/>
        <v>0.92179991075639933</v>
      </c>
      <c r="M51" s="97"/>
      <c r="P51" s="90" t="s">
        <v>115</v>
      </c>
      <c r="Q51" s="31">
        <v>11.375056405926856</v>
      </c>
      <c r="R51" s="90">
        <v>18.32</v>
      </c>
      <c r="S51" s="83">
        <v>20.5701000707571</v>
      </c>
      <c r="T51" s="97"/>
      <c r="U51" s="97"/>
      <c r="V51" s="97">
        <f t="shared" si="44"/>
        <v>6.1308160113211354</v>
      </c>
      <c r="W51" s="32">
        <f t="shared" si="45"/>
        <v>5.2442403946057201</v>
      </c>
      <c r="X51" s="32">
        <f t="shared" si="70"/>
        <v>11.040506093906775</v>
      </c>
      <c r="Y51" s="30"/>
      <c r="Z51" s="90" t="s">
        <v>115</v>
      </c>
      <c r="AA51" s="31">
        <f t="shared" si="71"/>
        <v>11.040506093906775</v>
      </c>
      <c r="AB51" s="97">
        <v>18.32</v>
      </c>
      <c r="AC51" s="83">
        <v>20.5701000707571</v>
      </c>
      <c r="AD51" s="97"/>
      <c r="AE51" s="97">
        <f t="shared" si="46"/>
        <v>1.8529050035378551</v>
      </c>
      <c r="AF51" s="31">
        <f t="shared" si="47"/>
        <v>9.1876010903689185</v>
      </c>
      <c r="AG51" s="32">
        <f t="shared" si="48"/>
        <v>10.381470158608948</v>
      </c>
      <c r="AH51" s="90">
        <v>18.32</v>
      </c>
      <c r="AI51" s="83">
        <v>20.5701000707571</v>
      </c>
      <c r="AJ51" s="97"/>
      <c r="AK51" s="97"/>
      <c r="AL51" s="97">
        <f t="shared" si="49"/>
        <v>1.555604002830284</v>
      </c>
      <c r="AM51" s="31">
        <f t="shared" si="50"/>
        <v>8.8258661557786642</v>
      </c>
      <c r="AN51" s="32">
        <f t="shared" si="51"/>
        <v>10.029393358839393</v>
      </c>
      <c r="AO51" s="90">
        <v>18.32</v>
      </c>
      <c r="AP51" s="97">
        <v>20.5701000707571</v>
      </c>
      <c r="AQ51" s="97"/>
      <c r="AR51" s="97"/>
      <c r="AS51" s="97">
        <f t="shared" si="52"/>
        <v>1.8529050035378551</v>
      </c>
      <c r="AT51" s="31">
        <f t="shared" si="53"/>
        <v>8.1764883553015366</v>
      </c>
      <c r="AU51" s="32">
        <f t="shared" si="54"/>
        <v>9.4525876939902105</v>
      </c>
      <c r="AV51" s="90">
        <v>18.32</v>
      </c>
      <c r="AW51" s="97">
        <v>20.5701000707571</v>
      </c>
      <c r="AX51" s="97"/>
      <c r="AY51" s="97"/>
      <c r="AZ51" s="97">
        <f t="shared" si="55"/>
        <v>1.555604002830284</v>
      </c>
      <c r="BA51" s="31">
        <f t="shared" si="56"/>
        <v>6.6208843524712524</v>
      </c>
      <c r="BB51" s="32">
        <f t="shared" si="57"/>
        <v>8.798517411921928</v>
      </c>
      <c r="BC51" s="33" t="s">
        <v>59</v>
      </c>
      <c r="BD51" s="97">
        <v>18.32</v>
      </c>
      <c r="BE51" s="97">
        <v>20.5701000707571</v>
      </c>
      <c r="BF51" s="97"/>
      <c r="BG51" s="97"/>
      <c r="BH51" s="97">
        <f t="shared" si="58"/>
        <v>1.555604002830284</v>
      </c>
      <c r="BI51" s="31">
        <f t="shared" si="59"/>
        <v>7.2429134090916438</v>
      </c>
      <c r="BJ51" s="32">
        <f t="shared" si="60"/>
        <v>8.1153091418393775</v>
      </c>
      <c r="BK51" s="90">
        <v>18.32</v>
      </c>
      <c r="BL51" s="97">
        <v>20.5701000707571</v>
      </c>
      <c r="BM51" s="97"/>
      <c r="BN51" s="97"/>
      <c r="BO51" s="97"/>
      <c r="BP51" s="97">
        <f t="shared" si="61"/>
        <v>1.738804002830284</v>
      </c>
      <c r="BQ51" s="31">
        <f t="shared" si="62"/>
        <v>5.5041094062613602</v>
      </c>
      <c r="BR51" s="32">
        <f t="shared" si="63"/>
        <v>7.2902111341210034</v>
      </c>
      <c r="BS51" s="90">
        <v>18.32</v>
      </c>
      <c r="BT51" s="97">
        <v>20.5701000707571</v>
      </c>
      <c r="BU51" s="97"/>
      <c r="BV51" s="97"/>
      <c r="BW51" s="97"/>
      <c r="BX51" s="97">
        <f t="shared" si="64"/>
        <v>1.555604002830284</v>
      </c>
      <c r="BY51" s="31">
        <f t="shared" si="65"/>
        <v>3.948505403431076</v>
      </c>
      <c r="BZ51" s="32">
        <f t="shared" si="66"/>
        <v>6.2924388899300023</v>
      </c>
      <c r="CA51" s="90">
        <v>18.32</v>
      </c>
      <c r="CB51" s="97">
        <v>20.5701000707571</v>
      </c>
      <c r="CC51" s="97"/>
      <c r="CD51" s="97"/>
      <c r="CE51" s="97"/>
      <c r="CF51" s="97">
        <f t="shared" si="67"/>
        <v>1.555604002830284</v>
      </c>
      <c r="CG51" s="31">
        <f t="shared" si="68"/>
        <v>2.3929014006007918</v>
      </c>
      <c r="CH51" s="32">
        <f t="shared" si="69"/>
        <v>4.8098520615091305</v>
      </c>
    </row>
    <row r="52" spans="1:86" s="83" customFormat="1" x14ac:dyDescent="0.25">
      <c r="A52" s="121" t="s">
        <v>33</v>
      </c>
      <c r="B52" s="90">
        <f t="shared" si="34"/>
        <v>0.71878729847425993</v>
      </c>
      <c r="C52" s="98">
        <f t="shared" si="35"/>
        <v>1.5132364178405469</v>
      </c>
      <c r="D52" s="105">
        <v>1.5132364178405469</v>
      </c>
      <c r="E52" s="97">
        <f t="shared" si="36"/>
        <v>1.7098716585768896</v>
      </c>
      <c r="F52" s="97">
        <f t="shared" si="37"/>
        <v>1.9430359756555566</v>
      </c>
      <c r="G52" s="97">
        <f t="shared" si="38"/>
        <v>2.2462843649197173</v>
      </c>
      <c r="H52" s="97">
        <f t="shared" si="39"/>
        <v>2.5821076088445927</v>
      </c>
      <c r="I52" s="97">
        <f t="shared" si="40"/>
        <v>2.8931177690135494</v>
      </c>
      <c r="J52" s="97">
        <f t="shared" si="41"/>
        <v>3.4200100779398563</v>
      </c>
      <c r="K52" s="92">
        <f t="shared" si="42"/>
        <v>4.1149125240551276</v>
      </c>
      <c r="L52" s="93">
        <f t="shared" si="43"/>
        <v>5.1901660479288303</v>
      </c>
      <c r="M52" s="97"/>
      <c r="P52" s="90" t="s">
        <v>34</v>
      </c>
      <c r="Q52" s="31">
        <v>5.1647880572785434</v>
      </c>
      <c r="R52" s="90"/>
      <c r="T52" s="97"/>
      <c r="U52" s="97">
        <v>34.56</v>
      </c>
      <c r="V52" s="97">
        <f t="shared" si="44"/>
        <v>1.9008</v>
      </c>
      <c r="W52" s="32">
        <f t="shared" si="45"/>
        <v>3.2639880572785431</v>
      </c>
      <c r="X52" s="32">
        <f t="shared" si="70"/>
        <v>6.87155380479693</v>
      </c>
      <c r="Y52" s="30"/>
      <c r="Z52" s="90" t="s">
        <v>34</v>
      </c>
      <c r="AA52" s="31">
        <f t="shared" si="71"/>
        <v>6.87155380479693</v>
      </c>
      <c r="AB52" s="97"/>
      <c r="AD52" s="97"/>
      <c r="AE52" s="97">
        <f t="shared" si="46"/>
        <v>0</v>
      </c>
      <c r="AF52" s="31">
        <f t="shared" si="47"/>
        <v>6.87155380479693</v>
      </c>
      <c r="AG52" s="32">
        <f t="shared" si="48"/>
        <v>7.7644675760417297</v>
      </c>
      <c r="AH52" s="90"/>
      <c r="AJ52" s="97"/>
      <c r="AK52" s="97">
        <v>34.56</v>
      </c>
      <c r="AL52" s="97">
        <f t="shared" si="49"/>
        <v>0.69120000000000004</v>
      </c>
      <c r="AM52" s="31">
        <f t="shared" si="50"/>
        <v>7.0732675760417294</v>
      </c>
      <c r="AN52" s="32">
        <f t="shared" si="51"/>
        <v>8.0378040636837849</v>
      </c>
      <c r="AO52" s="90"/>
      <c r="AP52" s="97"/>
      <c r="AQ52" s="97"/>
      <c r="AR52" s="97">
        <v>34.56</v>
      </c>
      <c r="AS52" s="97">
        <f t="shared" si="52"/>
        <v>0.69120000000000004</v>
      </c>
      <c r="AT52" s="31">
        <f t="shared" si="53"/>
        <v>7.3466040636837846</v>
      </c>
      <c r="AU52" s="32">
        <f t="shared" si="54"/>
        <v>8.493183888651771</v>
      </c>
      <c r="AV52" s="90"/>
      <c r="AW52" s="97"/>
      <c r="AX52" s="97"/>
      <c r="AY52" s="97">
        <v>34.56</v>
      </c>
      <c r="AZ52" s="97">
        <f t="shared" si="55"/>
        <v>0.43200000000000005</v>
      </c>
      <c r="BA52" s="31">
        <f t="shared" si="56"/>
        <v>6.9146040636837842</v>
      </c>
      <c r="BB52" s="32">
        <f t="shared" si="57"/>
        <v>9.188842609546553</v>
      </c>
      <c r="BC52" s="33" t="s">
        <v>60</v>
      </c>
      <c r="BD52" s="97"/>
      <c r="BE52" s="97"/>
      <c r="BF52" s="97"/>
      <c r="BG52" s="97">
        <v>34.56</v>
      </c>
      <c r="BH52" s="97">
        <f t="shared" si="58"/>
        <v>0.60480000000000012</v>
      </c>
      <c r="BI52" s="31">
        <f t="shared" si="59"/>
        <v>8.5840426095465521</v>
      </c>
      <c r="BJ52" s="32">
        <f t="shared" si="60"/>
        <v>9.6179749126572016</v>
      </c>
      <c r="BK52" s="90"/>
      <c r="BL52" s="97"/>
      <c r="BM52" s="97"/>
      <c r="BN52" s="97">
        <v>34.56</v>
      </c>
      <c r="BO52" s="97">
        <v>100</v>
      </c>
      <c r="BP52" s="97">
        <f t="shared" si="61"/>
        <v>2.7683999999999997</v>
      </c>
      <c r="BQ52" s="31">
        <f t="shared" si="62"/>
        <v>5.8156426095465523</v>
      </c>
      <c r="BR52" s="32">
        <f t="shared" si="63"/>
        <v>7.7028378934391393</v>
      </c>
      <c r="BS52" s="90"/>
      <c r="BT52" s="97"/>
      <c r="BU52" s="97"/>
      <c r="BV52" s="97">
        <v>34.56</v>
      </c>
      <c r="BW52" s="97">
        <v>100</v>
      </c>
      <c r="BX52" s="97">
        <f t="shared" si="64"/>
        <v>1.6048</v>
      </c>
      <c r="BY52" s="31">
        <f t="shared" si="65"/>
        <v>4.2108426095465523</v>
      </c>
      <c r="BZ52" s="32">
        <f t="shared" si="66"/>
        <v>6.7105061506717965</v>
      </c>
      <c r="CA52" s="90"/>
      <c r="CB52" s="97"/>
      <c r="CC52" s="97"/>
      <c r="CD52" s="97">
        <v>34.56</v>
      </c>
      <c r="CE52" s="97">
        <v>100</v>
      </c>
      <c r="CF52" s="97">
        <f t="shared" si="67"/>
        <v>1.6912</v>
      </c>
      <c r="CG52" s="31">
        <f t="shared" si="68"/>
        <v>2.5196426095465521</v>
      </c>
      <c r="CH52" s="32">
        <f t="shared" si="69"/>
        <v>5.0646082603950804</v>
      </c>
    </row>
    <row r="53" spans="1:86" s="83" customFormat="1" ht="18" x14ac:dyDescent="0.35">
      <c r="A53" s="121" t="s">
        <v>116</v>
      </c>
      <c r="B53" s="90">
        <f t="shared" si="34"/>
        <v>4.5393471027332382</v>
      </c>
      <c r="C53" s="98">
        <f t="shared" si="35"/>
        <v>4.1925949953640629</v>
      </c>
      <c r="D53" s="105">
        <v>4.1925949953640629</v>
      </c>
      <c r="E53" s="97">
        <f t="shared" si="36"/>
        <v>4.0983543450669826</v>
      </c>
      <c r="F53" s="97">
        <f t="shared" si="37"/>
        <v>3.8380832103217681</v>
      </c>
      <c r="G53" s="97">
        <f t="shared" si="38"/>
        <v>3.4729847518404431</v>
      </c>
      <c r="H53" s="97">
        <f t="shared" si="39"/>
        <v>3.1680274954925673</v>
      </c>
      <c r="I53" s="97">
        <f t="shared" si="40"/>
        <v>2.779536555191866</v>
      </c>
      <c r="J53" s="97">
        <f t="shared" si="41"/>
        <v>2.4198612655959106</v>
      </c>
      <c r="K53" s="92">
        <f t="shared" si="42"/>
        <v>1.8162615705834046</v>
      </c>
      <c r="L53" s="93">
        <f t="shared" si="43"/>
        <v>0.84193570966283326</v>
      </c>
      <c r="M53" s="97"/>
      <c r="P53" s="90" t="s">
        <v>35</v>
      </c>
      <c r="Q53" s="31">
        <v>0.11276523431310569</v>
      </c>
      <c r="R53" s="90"/>
      <c r="T53" s="97"/>
      <c r="U53" s="97"/>
      <c r="V53" s="97">
        <f t="shared" si="44"/>
        <v>0</v>
      </c>
      <c r="W53" s="32">
        <f t="shared" si="45"/>
        <v>0.11276523431310569</v>
      </c>
      <c r="X53" s="32">
        <f t="shared" si="70"/>
        <v>0.23740049329074872</v>
      </c>
      <c r="Y53" s="30"/>
      <c r="Z53" s="90" t="s">
        <v>35</v>
      </c>
      <c r="AA53" s="31">
        <f t="shared" si="71"/>
        <v>0.23740049329074872</v>
      </c>
      <c r="AB53" s="97"/>
      <c r="AD53" s="97"/>
      <c r="AE53" s="97">
        <f t="shared" si="46"/>
        <v>0</v>
      </c>
      <c r="AF53" s="31">
        <f t="shared" si="47"/>
        <v>0.23740049329074872</v>
      </c>
      <c r="AG53" s="32">
        <f t="shared" si="48"/>
        <v>0.26824914496129804</v>
      </c>
      <c r="AH53" s="90"/>
      <c r="AJ53" s="97"/>
      <c r="AK53" s="97"/>
      <c r="AL53" s="97">
        <f t="shared" si="49"/>
        <v>0</v>
      </c>
      <c r="AM53" s="31">
        <f t="shared" si="50"/>
        <v>0.26824914496129804</v>
      </c>
      <c r="AN53" s="32">
        <f t="shared" si="51"/>
        <v>0.30482857381965689</v>
      </c>
      <c r="AO53" s="90"/>
      <c r="AP53" s="97"/>
      <c r="AQ53" s="97"/>
      <c r="AR53" s="97"/>
      <c r="AS53" s="97">
        <f t="shared" si="52"/>
        <v>0</v>
      </c>
      <c r="AT53" s="31">
        <f t="shared" si="53"/>
        <v>0.30482857381965689</v>
      </c>
      <c r="AU53" s="32">
        <f t="shared" si="54"/>
        <v>0.35240297551405403</v>
      </c>
      <c r="AV53" s="90"/>
      <c r="AW53" s="97"/>
      <c r="AX53" s="97"/>
      <c r="AY53" s="97"/>
      <c r="AZ53" s="97">
        <f t="shared" si="55"/>
        <v>0</v>
      </c>
      <c r="BA53" s="31">
        <f t="shared" si="56"/>
        <v>0.30482857381965689</v>
      </c>
      <c r="BB53" s="32">
        <f t="shared" si="57"/>
        <v>0.4050878057404077</v>
      </c>
      <c r="BC53" s="33" t="s">
        <v>35</v>
      </c>
      <c r="BD53" s="97"/>
      <c r="BE53" s="97"/>
      <c r="BF53" s="97"/>
      <c r="BG53" s="97"/>
      <c r="BH53" s="97">
        <f t="shared" si="58"/>
        <v>0</v>
      </c>
      <c r="BI53" s="31">
        <f t="shared" si="59"/>
        <v>0.4050878057404077</v>
      </c>
      <c r="BJ53" s="32">
        <f t="shared" si="60"/>
        <v>0.45387989438701143</v>
      </c>
      <c r="BK53" s="90"/>
      <c r="BL53" s="97"/>
      <c r="BM53" s="97"/>
      <c r="BN53" s="97"/>
      <c r="BO53" s="97"/>
      <c r="BP53" s="97">
        <f t="shared" si="61"/>
        <v>0</v>
      </c>
      <c r="BQ53" s="31">
        <f t="shared" si="62"/>
        <v>0.4050878057404077</v>
      </c>
      <c r="BR53" s="32">
        <f t="shared" si="63"/>
        <v>0.53654014005351991</v>
      </c>
      <c r="BS53" s="90"/>
      <c r="BT53" s="97"/>
      <c r="BU53" s="97"/>
      <c r="BV53" s="97"/>
      <c r="BW53" s="97"/>
      <c r="BX53" s="97">
        <f t="shared" si="64"/>
        <v>0</v>
      </c>
      <c r="BY53" s="31">
        <f t="shared" si="65"/>
        <v>0.4050878057404077</v>
      </c>
      <c r="BZ53" s="32">
        <f t="shared" si="66"/>
        <v>0.64555825616001228</v>
      </c>
      <c r="CA53" s="90"/>
      <c r="CB53" s="97"/>
      <c r="CC53" s="97"/>
      <c r="CD53" s="97"/>
      <c r="CE53" s="97"/>
      <c r="CF53" s="97">
        <f t="shared" si="67"/>
        <v>0</v>
      </c>
      <c r="CG53" s="31">
        <f t="shared" si="68"/>
        <v>0.4050878057404077</v>
      </c>
      <c r="CH53" s="32">
        <f t="shared" si="69"/>
        <v>0.81424684570936234</v>
      </c>
    </row>
    <row r="54" spans="1:86" s="83" customFormat="1" ht="18" x14ac:dyDescent="0.35">
      <c r="A54" s="121" t="s">
        <v>117</v>
      </c>
      <c r="B54" s="90">
        <f t="shared" si="34"/>
        <v>4.7216394300977935</v>
      </c>
      <c r="C54" s="98">
        <f t="shared" si="35"/>
        <v>4.4190303791532477</v>
      </c>
      <c r="D54" s="105">
        <v>4.4190303791532477</v>
      </c>
      <c r="E54" s="97">
        <f t="shared" si="36"/>
        <v>4.1329156826590374</v>
      </c>
      <c r="F54" s="97">
        <f t="shared" si="37"/>
        <v>3.927404184839816</v>
      </c>
      <c r="G54" s="97">
        <f t="shared" si="38"/>
        <v>3.6601204449015197</v>
      </c>
      <c r="H54" s="97">
        <f t="shared" si="39"/>
        <v>3.3079125379931096</v>
      </c>
      <c r="I54" s="97">
        <f t="shared" si="40"/>
        <v>2.9480252526533439</v>
      </c>
      <c r="J54" s="97">
        <f t="shared" si="41"/>
        <v>2.3643874675405416</v>
      </c>
      <c r="K54" s="92">
        <f t="shared" si="42"/>
        <v>1.766235120307744</v>
      </c>
      <c r="L54" s="93">
        <f t="shared" si="43"/>
        <v>0.86736188541328507</v>
      </c>
      <c r="M54" s="97"/>
      <c r="P54" s="90" t="s">
        <v>36</v>
      </c>
      <c r="Q54" s="31">
        <v>0.12766028321017062</v>
      </c>
      <c r="R54" s="90"/>
      <c r="T54" s="97"/>
      <c r="U54" s="97"/>
      <c r="V54" s="97">
        <f t="shared" si="44"/>
        <v>0</v>
      </c>
      <c r="W54" s="32">
        <f t="shared" si="45"/>
        <v>0.12766028321017062</v>
      </c>
      <c r="X54" s="32">
        <f t="shared" si="70"/>
        <v>0.26875849096878013</v>
      </c>
      <c r="Y54" s="30"/>
      <c r="Z54" s="90" t="s">
        <v>36</v>
      </c>
      <c r="AA54" s="31">
        <f t="shared" si="71"/>
        <v>0.26875849096878013</v>
      </c>
      <c r="AB54" s="97"/>
      <c r="AD54" s="97"/>
      <c r="AE54" s="97">
        <f t="shared" si="46"/>
        <v>0</v>
      </c>
      <c r="AF54" s="31">
        <f t="shared" si="47"/>
        <v>0.26875849096878013</v>
      </c>
      <c r="AG54" s="32">
        <f t="shared" si="48"/>
        <v>0.30368191069918665</v>
      </c>
      <c r="AH54" s="90"/>
      <c r="AJ54" s="97"/>
      <c r="AK54" s="97"/>
      <c r="AL54" s="97">
        <f t="shared" si="49"/>
        <v>0</v>
      </c>
      <c r="AM54" s="31">
        <f t="shared" si="50"/>
        <v>0.30368191069918665</v>
      </c>
      <c r="AN54" s="32">
        <f t="shared" si="51"/>
        <v>0.34509308033998487</v>
      </c>
      <c r="AO54" s="90"/>
      <c r="AP54" s="97"/>
      <c r="AQ54" s="97"/>
      <c r="AR54" s="97"/>
      <c r="AS54" s="97">
        <f t="shared" si="52"/>
        <v>0</v>
      </c>
      <c r="AT54" s="31">
        <f t="shared" si="53"/>
        <v>0.34509308033998487</v>
      </c>
      <c r="AU54" s="32">
        <f t="shared" si="54"/>
        <v>0.39895153796530025</v>
      </c>
      <c r="AV54" s="90"/>
      <c r="AW54" s="97"/>
      <c r="AX54" s="97"/>
      <c r="AY54" s="97"/>
      <c r="AZ54" s="97">
        <f t="shared" si="55"/>
        <v>0</v>
      </c>
      <c r="BA54" s="31">
        <f t="shared" si="56"/>
        <v>0.34509308033998487</v>
      </c>
      <c r="BB54" s="32">
        <f t="shared" si="57"/>
        <v>0.4585954556013086</v>
      </c>
      <c r="BC54" s="33" t="s">
        <v>36</v>
      </c>
      <c r="BD54" s="97"/>
      <c r="BE54" s="97"/>
      <c r="BF54" s="97"/>
      <c r="BG54" s="97"/>
      <c r="BH54" s="97">
        <f t="shared" si="58"/>
        <v>0</v>
      </c>
      <c r="BI54" s="31">
        <f t="shared" si="59"/>
        <v>0.4585954556013086</v>
      </c>
      <c r="BJ54" s="32">
        <f t="shared" si="60"/>
        <v>0.51383244325076594</v>
      </c>
      <c r="BK54" s="90"/>
      <c r="BL54" s="97"/>
      <c r="BM54" s="97"/>
      <c r="BN54" s="97"/>
      <c r="BO54" s="97"/>
      <c r="BP54" s="97">
        <f t="shared" si="61"/>
        <v>0</v>
      </c>
      <c r="BQ54" s="31">
        <f t="shared" si="62"/>
        <v>0.4585954556013086</v>
      </c>
      <c r="BR54" s="32">
        <f t="shared" si="63"/>
        <v>0.60741119947193167</v>
      </c>
      <c r="BS54" s="90"/>
      <c r="BT54" s="97"/>
      <c r="BU54" s="97"/>
      <c r="BV54" s="97"/>
      <c r="BW54" s="97"/>
      <c r="BX54" s="97">
        <f t="shared" si="64"/>
        <v>0</v>
      </c>
      <c r="BY54" s="31">
        <f t="shared" si="65"/>
        <v>0.4585954556013086</v>
      </c>
      <c r="BZ54" s="32">
        <f t="shared" si="66"/>
        <v>0.73082941131682644</v>
      </c>
      <c r="CA54" s="90"/>
      <c r="CB54" s="97"/>
      <c r="CC54" s="97"/>
      <c r="CD54" s="97"/>
      <c r="CE54" s="97"/>
      <c r="CF54" s="97">
        <f t="shared" si="67"/>
        <v>0</v>
      </c>
      <c r="CG54" s="31">
        <f t="shared" si="68"/>
        <v>0.4585954556013086</v>
      </c>
      <c r="CH54" s="32">
        <f t="shared" si="69"/>
        <v>0.92179991075639933</v>
      </c>
    </row>
    <row r="55" spans="1:86" s="83" customFormat="1" ht="18" x14ac:dyDescent="0.35">
      <c r="A55" s="128" t="s">
        <v>118</v>
      </c>
      <c r="B55" s="108">
        <f t="shared" si="34"/>
        <v>2.6429604765111345E-2</v>
      </c>
      <c r="C55" s="111">
        <f t="shared" si="35"/>
        <v>5.5641273189708074E-2</v>
      </c>
      <c r="D55" s="110">
        <v>5.5641273189708074E-2</v>
      </c>
      <c r="E55" s="110">
        <f t="shared" si="36"/>
        <v>6.2871495129613653E-2</v>
      </c>
      <c r="F55" s="110">
        <f t="shared" si="37"/>
        <v>7.1444880829106425E-2</v>
      </c>
      <c r="G55" s="110">
        <f t="shared" si="38"/>
        <v>8.2595237952724151E-2</v>
      </c>
      <c r="H55" s="110">
        <f t="shared" si="39"/>
        <v>9.4943363228048375E-2</v>
      </c>
      <c r="I55" s="110">
        <f t="shared" si="40"/>
        <v>0.10637911846279929</v>
      </c>
      <c r="J55" s="110">
        <f t="shared" si="41"/>
        <v>0.12575279897754749</v>
      </c>
      <c r="K55" s="110">
        <f t="shared" si="42"/>
        <v>0.15130416450685</v>
      </c>
      <c r="L55" s="111">
        <f t="shared" si="43"/>
        <v>0.19084093111165504</v>
      </c>
      <c r="M55" s="97"/>
      <c r="P55" s="90" t="s">
        <v>37</v>
      </c>
      <c r="Q55" s="31">
        <v>0.71878729847425993</v>
      </c>
      <c r="R55" s="90"/>
      <c r="T55" s="97"/>
      <c r="U55" s="97"/>
      <c r="V55" s="97">
        <f t="shared" si="44"/>
        <v>0</v>
      </c>
      <c r="W55" s="32">
        <f t="shared" si="45"/>
        <v>0.71878729847425993</v>
      </c>
      <c r="X55" s="32">
        <f t="shared" si="70"/>
        <v>1.5132364178405469</v>
      </c>
      <c r="Y55" s="30"/>
      <c r="Z55" s="90" t="s">
        <v>37</v>
      </c>
      <c r="AA55" s="31">
        <f t="shared" si="71"/>
        <v>1.5132364178405469</v>
      </c>
      <c r="AB55" s="97"/>
      <c r="AD55" s="97"/>
      <c r="AE55" s="97">
        <f t="shared" si="46"/>
        <v>0</v>
      </c>
      <c r="AF55" s="31">
        <f t="shared" si="47"/>
        <v>1.5132364178405469</v>
      </c>
      <c r="AG55" s="32">
        <f t="shared" si="48"/>
        <v>1.7098716585768896</v>
      </c>
      <c r="AH55" s="90"/>
      <c r="AJ55" s="97"/>
      <c r="AK55" s="97"/>
      <c r="AL55" s="97">
        <f t="shared" si="49"/>
        <v>0</v>
      </c>
      <c r="AM55" s="31">
        <f t="shared" si="50"/>
        <v>1.7098716585768896</v>
      </c>
      <c r="AN55" s="32">
        <f t="shared" si="51"/>
        <v>1.9430359756555566</v>
      </c>
      <c r="AO55" s="90"/>
      <c r="AP55" s="97"/>
      <c r="AQ55" s="97"/>
      <c r="AR55" s="97"/>
      <c r="AS55" s="97">
        <f t="shared" si="52"/>
        <v>0</v>
      </c>
      <c r="AT55" s="31">
        <f t="shared" si="53"/>
        <v>1.9430359756555566</v>
      </c>
      <c r="AU55" s="32">
        <f t="shared" si="54"/>
        <v>2.2462843649197173</v>
      </c>
      <c r="AV55" s="90"/>
      <c r="AW55" s="97"/>
      <c r="AX55" s="97"/>
      <c r="AY55" s="97"/>
      <c r="AZ55" s="97">
        <f t="shared" si="55"/>
        <v>0</v>
      </c>
      <c r="BA55" s="31">
        <f t="shared" si="56"/>
        <v>1.9430359756555566</v>
      </c>
      <c r="BB55" s="32">
        <f t="shared" si="57"/>
        <v>2.5821076088445927</v>
      </c>
      <c r="BC55" s="33" t="s">
        <v>37</v>
      </c>
      <c r="BD55" s="97"/>
      <c r="BE55" s="97">
        <v>0</v>
      </c>
      <c r="BF55" s="97"/>
      <c r="BG55" s="97"/>
      <c r="BH55" s="97">
        <f t="shared" si="58"/>
        <v>0</v>
      </c>
      <c r="BI55" s="31">
        <f t="shared" si="59"/>
        <v>2.5821076088445927</v>
      </c>
      <c r="BJ55" s="32">
        <f t="shared" si="60"/>
        <v>2.8931177690135494</v>
      </c>
      <c r="BK55" s="90"/>
      <c r="BL55" s="97">
        <v>0</v>
      </c>
      <c r="BM55" s="97"/>
      <c r="BN55" s="97"/>
      <c r="BO55" s="97"/>
      <c r="BP55" s="97">
        <f t="shared" si="61"/>
        <v>0</v>
      </c>
      <c r="BQ55" s="31">
        <f t="shared" si="62"/>
        <v>2.5821076088445927</v>
      </c>
      <c r="BR55" s="32">
        <f t="shared" si="63"/>
        <v>3.4200100779398563</v>
      </c>
      <c r="BS55" s="90"/>
      <c r="BT55" s="97">
        <v>0</v>
      </c>
      <c r="BU55" s="97"/>
      <c r="BV55" s="97"/>
      <c r="BW55" s="97"/>
      <c r="BX55" s="97">
        <f t="shared" si="64"/>
        <v>0</v>
      </c>
      <c r="BY55" s="31">
        <f t="shared" si="65"/>
        <v>2.5821076088445927</v>
      </c>
      <c r="BZ55" s="32">
        <f t="shared" si="66"/>
        <v>4.1149125240551276</v>
      </c>
      <c r="CA55" s="90"/>
      <c r="CB55" s="97">
        <v>0</v>
      </c>
      <c r="CC55" s="97"/>
      <c r="CD55" s="97"/>
      <c r="CE55" s="97"/>
      <c r="CF55" s="97">
        <f t="shared" si="67"/>
        <v>0</v>
      </c>
      <c r="CG55" s="31">
        <f t="shared" si="68"/>
        <v>2.5821076088445927</v>
      </c>
      <c r="CH55" s="32">
        <f t="shared" si="69"/>
        <v>5.1901660479288303</v>
      </c>
    </row>
    <row r="56" spans="1:86" s="83" customFormat="1" ht="18" x14ac:dyDescent="0.35">
      <c r="A56" s="121" t="s">
        <v>19</v>
      </c>
      <c r="B56" s="90">
        <f>Q59</f>
        <v>100</v>
      </c>
      <c r="C56" s="98">
        <f t="shared" si="35"/>
        <v>99.999999999999972</v>
      </c>
      <c r="D56" s="105">
        <v>99.999999999999972</v>
      </c>
      <c r="E56" s="97">
        <f t="shared" si="36"/>
        <v>99.999999999999986</v>
      </c>
      <c r="F56" s="97">
        <f t="shared" si="37"/>
        <v>100.00000000000001</v>
      </c>
      <c r="G56" s="97">
        <f t="shared" si="38"/>
        <v>100</v>
      </c>
      <c r="H56" s="97">
        <f t="shared" si="39"/>
        <v>100.00000000000001</v>
      </c>
      <c r="I56" s="97">
        <f t="shared" si="40"/>
        <v>99.999999999999986</v>
      </c>
      <c r="J56" s="97">
        <f t="shared" si="41"/>
        <v>99.999999999999943</v>
      </c>
      <c r="K56" s="97">
        <f>BR59</f>
        <v>99.999999999999943</v>
      </c>
      <c r="L56" s="98">
        <f>BZ59</f>
        <v>99.999999999999986</v>
      </c>
      <c r="M56" s="129"/>
      <c r="P56" s="90" t="s">
        <v>119</v>
      </c>
      <c r="Q56" s="31">
        <v>4.5393471027332382</v>
      </c>
      <c r="R56" s="90"/>
      <c r="S56" s="83">
        <v>11.311027999595673</v>
      </c>
      <c r="T56" s="97"/>
      <c r="U56" s="97">
        <v>13.42</v>
      </c>
      <c r="V56" s="97">
        <f t="shared" si="44"/>
        <v>2.5478644799353076</v>
      </c>
      <c r="W56" s="32">
        <f t="shared" si="45"/>
        <v>1.9914826227979305</v>
      </c>
      <c r="X56" s="32">
        <f t="shared" si="70"/>
        <v>4.1925949953640629</v>
      </c>
      <c r="Y56" s="30"/>
      <c r="Z56" s="90" t="s">
        <v>119</v>
      </c>
      <c r="AA56" s="31">
        <f t="shared" si="71"/>
        <v>4.1925949953640629</v>
      </c>
      <c r="AB56" s="97"/>
      <c r="AC56" s="83">
        <v>11.311027999595673</v>
      </c>
      <c r="AD56" s="97"/>
      <c r="AE56" s="97">
        <f t="shared" si="46"/>
        <v>0.56555139997978365</v>
      </c>
      <c r="AF56" s="31">
        <f t="shared" si="47"/>
        <v>3.6270435953842792</v>
      </c>
      <c r="AG56" s="32">
        <f t="shared" si="48"/>
        <v>4.0983543450669826</v>
      </c>
      <c r="AH56" s="90"/>
      <c r="AI56" s="83">
        <v>11.311027999595673</v>
      </c>
      <c r="AJ56" s="97"/>
      <c r="AK56" s="97">
        <v>13.42</v>
      </c>
      <c r="AL56" s="97">
        <f t="shared" si="49"/>
        <v>0.72084111998382694</v>
      </c>
      <c r="AM56" s="31">
        <f t="shared" si="50"/>
        <v>3.3775132250831557</v>
      </c>
      <c r="AN56" s="32">
        <f t="shared" si="51"/>
        <v>3.8380832103217681</v>
      </c>
      <c r="AO56" s="90"/>
      <c r="AP56" s="97">
        <v>11.311027999595673</v>
      </c>
      <c r="AQ56" s="97"/>
      <c r="AR56" s="97">
        <v>13.42</v>
      </c>
      <c r="AS56" s="97">
        <f t="shared" si="52"/>
        <v>0.83395139997978363</v>
      </c>
      <c r="AT56" s="31">
        <f t="shared" si="53"/>
        <v>3.0041318103419847</v>
      </c>
      <c r="AU56" s="32">
        <f t="shared" si="54"/>
        <v>3.4729847518404431</v>
      </c>
      <c r="AV56" s="90"/>
      <c r="AW56" s="97">
        <v>11.311027999595673</v>
      </c>
      <c r="AX56" s="97"/>
      <c r="AY56" s="97">
        <v>13.42</v>
      </c>
      <c r="AZ56" s="97">
        <f t="shared" si="55"/>
        <v>0.62019111998382692</v>
      </c>
      <c r="BA56" s="31">
        <f t="shared" si="56"/>
        <v>2.3839406903581577</v>
      </c>
      <c r="BB56" s="32">
        <f t="shared" si="57"/>
        <v>3.1680274954925673</v>
      </c>
      <c r="BC56" s="33" t="s">
        <v>61</v>
      </c>
      <c r="BD56" s="97"/>
      <c r="BE56" s="97">
        <v>11.311027999595673</v>
      </c>
      <c r="BF56" s="97"/>
      <c r="BG56" s="97">
        <v>13.42</v>
      </c>
      <c r="BH56" s="97">
        <f t="shared" si="58"/>
        <v>0.68729111998382697</v>
      </c>
      <c r="BI56" s="31">
        <f t="shared" si="59"/>
        <v>2.4807363755087404</v>
      </c>
      <c r="BJ56" s="32">
        <f t="shared" si="60"/>
        <v>2.779536555191866</v>
      </c>
      <c r="BK56" s="90"/>
      <c r="BL56" s="97">
        <v>11.311027999595673</v>
      </c>
      <c r="BM56" s="97"/>
      <c r="BN56" s="97">
        <v>13.42</v>
      </c>
      <c r="BO56" s="97"/>
      <c r="BP56" s="97">
        <f t="shared" si="61"/>
        <v>0.65374111998382689</v>
      </c>
      <c r="BQ56" s="31">
        <f t="shared" si="62"/>
        <v>1.8269952555249134</v>
      </c>
      <c r="BR56" s="32">
        <f t="shared" si="63"/>
        <v>2.4198612655959106</v>
      </c>
      <c r="BS56" s="90"/>
      <c r="BT56" s="97">
        <v>11.311027999595673</v>
      </c>
      <c r="BU56" s="97"/>
      <c r="BV56" s="97">
        <v>13.42</v>
      </c>
      <c r="BW56" s="97"/>
      <c r="BX56" s="97">
        <f t="shared" si="64"/>
        <v>0.68729111998382697</v>
      </c>
      <c r="BY56" s="31">
        <f t="shared" si="65"/>
        <v>1.1397041355410864</v>
      </c>
      <c r="BZ56" s="32">
        <f t="shared" si="66"/>
        <v>1.8162615705834046</v>
      </c>
      <c r="CA56" s="90"/>
      <c r="CB56" s="97">
        <v>11.311027999595673</v>
      </c>
      <c r="CC56" s="97"/>
      <c r="CD56" s="97">
        <v>13.42</v>
      </c>
      <c r="CE56" s="97"/>
      <c r="CF56" s="97">
        <f t="shared" si="67"/>
        <v>0.72084111998382694</v>
      </c>
      <c r="CG56" s="31">
        <f t="shared" si="68"/>
        <v>0.41886301555725947</v>
      </c>
      <c r="CH56" s="32">
        <f t="shared" si="69"/>
        <v>0.84193570966283326</v>
      </c>
    </row>
    <row r="57" spans="1:86" s="83" customFormat="1" ht="18" x14ac:dyDescent="0.35">
      <c r="A57" s="121"/>
      <c r="B57" s="90"/>
      <c r="C57" s="98"/>
      <c r="D57" s="105"/>
      <c r="E57" s="97"/>
      <c r="F57" s="97"/>
      <c r="G57" s="97"/>
      <c r="H57" s="97"/>
      <c r="I57" s="97"/>
      <c r="J57" s="97"/>
      <c r="K57" s="97"/>
      <c r="L57" s="98"/>
      <c r="M57" s="97"/>
      <c r="P57" s="90" t="s">
        <v>120</v>
      </c>
      <c r="Q57" s="31">
        <v>4.7216394300977935</v>
      </c>
      <c r="R57" s="90">
        <v>16.920000000000002</v>
      </c>
      <c r="T57" s="97"/>
      <c r="U57" s="97"/>
      <c r="V57" s="97">
        <f t="shared" si="44"/>
        <v>2.6226000000000003</v>
      </c>
      <c r="W57" s="32">
        <f t="shared" si="45"/>
        <v>2.0990394300977933</v>
      </c>
      <c r="X57" s="32">
        <f t="shared" si="70"/>
        <v>4.4190303791532477</v>
      </c>
      <c r="Y57" s="30"/>
      <c r="Z57" s="90" t="s">
        <v>120</v>
      </c>
      <c r="AA57" s="31">
        <f t="shared" si="71"/>
        <v>4.4190303791532477</v>
      </c>
      <c r="AB57" s="97">
        <v>16.920000000000002</v>
      </c>
      <c r="AD57" s="97"/>
      <c r="AE57" s="97">
        <f t="shared" si="46"/>
        <v>0.76140000000000008</v>
      </c>
      <c r="AF57" s="31">
        <f t="shared" si="47"/>
        <v>3.6576303791532476</v>
      </c>
      <c r="AG57" s="32">
        <f t="shared" si="48"/>
        <v>4.1329156826590374</v>
      </c>
      <c r="AH57" s="90">
        <v>16.920000000000002</v>
      </c>
      <c r="AJ57" s="97"/>
      <c r="AK57" s="97"/>
      <c r="AL57" s="97">
        <f t="shared" si="49"/>
        <v>0.67680000000000007</v>
      </c>
      <c r="AM57" s="31">
        <f t="shared" si="50"/>
        <v>3.4561156826590373</v>
      </c>
      <c r="AN57" s="32">
        <f t="shared" si="51"/>
        <v>3.927404184839816</v>
      </c>
      <c r="AO57" s="90">
        <v>16.920000000000002</v>
      </c>
      <c r="AP57" s="97"/>
      <c r="AQ57" s="97"/>
      <c r="AR57" s="97"/>
      <c r="AS57" s="97">
        <f t="shared" si="52"/>
        <v>0.76140000000000008</v>
      </c>
      <c r="AT57" s="31">
        <f t="shared" si="53"/>
        <v>3.1660041848398159</v>
      </c>
      <c r="AU57" s="32">
        <f t="shared" si="54"/>
        <v>3.6601204449015197</v>
      </c>
      <c r="AV57" s="90">
        <v>16.920000000000002</v>
      </c>
      <c r="AW57" s="97"/>
      <c r="AX57" s="97"/>
      <c r="AY57" s="97"/>
      <c r="AZ57" s="97">
        <f t="shared" si="55"/>
        <v>0.67680000000000007</v>
      </c>
      <c r="BA57" s="31">
        <f t="shared" si="56"/>
        <v>2.4892041848398159</v>
      </c>
      <c r="BB57" s="32">
        <f t="shared" si="57"/>
        <v>3.3079125379931096</v>
      </c>
      <c r="BC57" s="33" t="s">
        <v>62</v>
      </c>
      <c r="BD57" s="97">
        <v>16.920000000000002</v>
      </c>
      <c r="BE57" s="97"/>
      <c r="BF57" s="97"/>
      <c r="BG57" s="97"/>
      <c r="BH57" s="97">
        <f t="shared" si="58"/>
        <v>0.67680000000000007</v>
      </c>
      <c r="BI57" s="31">
        <f t="shared" si="59"/>
        <v>2.6311125379931095</v>
      </c>
      <c r="BJ57" s="32">
        <f t="shared" si="60"/>
        <v>2.9480252526533439</v>
      </c>
      <c r="BK57" s="90">
        <v>16.920000000000002</v>
      </c>
      <c r="BL57" s="97"/>
      <c r="BM57" s="97"/>
      <c r="BN57" s="97"/>
      <c r="BO57" s="97"/>
      <c r="BP57" s="97">
        <f t="shared" si="61"/>
        <v>0.84600000000000009</v>
      </c>
      <c r="BQ57" s="31">
        <f t="shared" si="62"/>
        <v>1.7851125379931094</v>
      </c>
      <c r="BR57" s="32">
        <f t="shared" si="63"/>
        <v>2.3643874675405416</v>
      </c>
      <c r="BS57" s="90">
        <v>16.920000000000002</v>
      </c>
      <c r="BT57" s="97"/>
      <c r="BU57" s="97"/>
      <c r="BV57" s="97"/>
      <c r="BW57" s="97"/>
      <c r="BX57" s="97">
        <f t="shared" si="64"/>
        <v>0.67680000000000007</v>
      </c>
      <c r="BY57" s="31">
        <f t="shared" si="65"/>
        <v>1.1083125379931094</v>
      </c>
      <c r="BZ57" s="32">
        <f t="shared" si="66"/>
        <v>1.766235120307744</v>
      </c>
      <c r="CA57" s="90">
        <v>16.920000000000002</v>
      </c>
      <c r="CB57" s="97"/>
      <c r="CC57" s="97"/>
      <c r="CD57" s="97"/>
      <c r="CE57" s="97"/>
      <c r="CF57" s="97">
        <f t="shared" si="67"/>
        <v>0.67680000000000007</v>
      </c>
      <c r="CG57" s="31">
        <f t="shared" si="68"/>
        <v>0.43151253799310929</v>
      </c>
      <c r="CH57" s="32">
        <f t="shared" si="69"/>
        <v>0.86736188541328507</v>
      </c>
    </row>
    <row r="58" spans="1:86" s="83" customFormat="1" ht="18" x14ac:dyDescent="0.35">
      <c r="A58" s="121" t="s">
        <v>121</v>
      </c>
      <c r="B58" s="90">
        <f>B53+B54</f>
        <v>9.2609865328310317</v>
      </c>
      <c r="C58" s="98">
        <f t="shared" ref="C58:L58" si="72">C53+C54</f>
        <v>8.6116253745173097</v>
      </c>
      <c r="D58" s="97">
        <f t="shared" si="72"/>
        <v>8.6116253745173097</v>
      </c>
      <c r="E58" s="97">
        <f t="shared" si="72"/>
        <v>8.2312700277260191</v>
      </c>
      <c r="F58" s="97">
        <f t="shared" si="72"/>
        <v>7.7654873951615837</v>
      </c>
      <c r="G58" s="97">
        <f t="shared" si="72"/>
        <v>7.1331051967419628</v>
      </c>
      <c r="H58" s="97">
        <f t="shared" si="72"/>
        <v>6.4759400334856769</v>
      </c>
      <c r="I58" s="97">
        <f t="shared" si="72"/>
        <v>5.72756180784521</v>
      </c>
      <c r="J58" s="97">
        <f t="shared" si="72"/>
        <v>4.7842487331364527</v>
      </c>
      <c r="K58" s="97">
        <f t="shared" si="72"/>
        <v>3.5824966908911486</v>
      </c>
      <c r="L58" s="98">
        <f t="shared" si="72"/>
        <v>1.7092975950761184</v>
      </c>
      <c r="M58" s="97"/>
      <c r="P58" s="108" t="s">
        <v>122</v>
      </c>
      <c r="Q58" s="35">
        <v>2.6429604765111345E-2</v>
      </c>
      <c r="R58" s="108"/>
      <c r="S58" s="100"/>
      <c r="T58" s="110"/>
      <c r="U58" s="110"/>
      <c r="V58" s="110">
        <f t="shared" si="44"/>
        <v>0</v>
      </c>
      <c r="W58" s="36">
        <f t="shared" si="45"/>
        <v>2.6429604765111345E-2</v>
      </c>
      <c r="X58" s="36">
        <f t="shared" si="70"/>
        <v>5.5641273189708074E-2</v>
      </c>
      <c r="Y58" s="30"/>
      <c r="Z58" s="90" t="s">
        <v>122</v>
      </c>
      <c r="AA58" s="31">
        <f t="shared" si="71"/>
        <v>5.5641273189708074E-2</v>
      </c>
      <c r="AB58" s="97"/>
      <c r="AD58" s="97"/>
      <c r="AE58" s="97">
        <f t="shared" si="46"/>
        <v>0</v>
      </c>
      <c r="AF58" s="31">
        <f t="shared" si="47"/>
        <v>5.5641273189708074E-2</v>
      </c>
      <c r="AG58" s="32">
        <f t="shared" si="48"/>
        <v>6.2871495129613653E-2</v>
      </c>
      <c r="AH58" s="90"/>
      <c r="AJ58" s="97"/>
      <c r="AK58" s="97"/>
      <c r="AL58" s="97">
        <f t="shared" si="49"/>
        <v>0</v>
      </c>
      <c r="AM58" s="31">
        <f t="shared" si="50"/>
        <v>6.2871495129613653E-2</v>
      </c>
      <c r="AN58" s="32">
        <f t="shared" si="51"/>
        <v>7.1444880829106425E-2</v>
      </c>
      <c r="AO58" s="90"/>
      <c r="AP58" s="97"/>
      <c r="AQ58" s="97"/>
      <c r="AR58" s="97"/>
      <c r="AS58" s="97">
        <f t="shared" si="52"/>
        <v>0</v>
      </c>
      <c r="AT58" s="31">
        <f t="shared" si="53"/>
        <v>7.1444880829106425E-2</v>
      </c>
      <c r="AU58" s="32">
        <f t="shared" si="54"/>
        <v>8.2595237952724151E-2</v>
      </c>
      <c r="AV58" s="90"/>
      <c r="AW58" s="97"/>
      <c r="AX58" s="97"/>
      <c r="AY58" s="97"/>
      <c r="AZ58" s="97">
        <f t="shared" si="55"/>
        <v>0</v>
      </c>
      <c r="BA58" s="31">
        <f t="shared" si="56"/>
        <v>7.1444880829106425E-2</v>
      </c>
      <c r="BB58" s="32">
        <f t="shared" si="57"/>
        <v>9.4943363228048375E-2</v>
      </c>
      <c r="BC58" s="33" t="s">
        <v>63</v>
      </c>
      <c r="BD58" s="97"/>
      <c r="BE58" s="97"/>
      <c r="BF58" s="97"/>
      <c r="BG58" s="97"/>
      <c r="BH58" s="97">
        <f t="shared" si="58"/>
        <v>0</v>
      </c>
      <c r="BI58" s="31">
        <f t="shared" si="59"/>
        <v>9.4943363228048375E-2</v>
      </c>
      <c r="BJ58" s="32">
        <f t="shared" si="60"/>
        <v>0.10637911846279929</v>
      </c>
      <c r="BK58" s="90"/>
      <c r="BL58" s="97"/>
      <c r="BM58" s="97"/>
      <c r="BN58" s="97"/>
      <c r="BO58" s="97"/>
      <c r="BP58" s="97">
        <f t="shared" si="61"/>
        <v>0</v>
      </c>
      <c r="BQ58" s="31">
        <f t="shared" si="62"/>
        <v>9.4943363228048375E-2</v>
      </c>
      <c r="BR58" s="32">
        <f t="shared" si="63"/>
        <v>0.12575279897754749</v>
      </c>
      <c r="BS58" s="90"/>
      <c r="BT58" s="97"/>
      <c r="BU58" s="97"/>
      <c r="BV58" s="97"/>
      <c r="BW58" s="97"/>
      <c r="BX58" s="97">
        <f t="shared" si="64"/>
        <v>0</v>
      </c>
      <c r="BY58" s="31">
        <f t="shared" si="65"/>
        <v>9.4943363228048375E-2</v>
      </c>
      <c r="BZ58" s="32">
        <f t="shared" si="66"/>
        <v>0.15130416450685</v>
      </c>
      <c r="CA58" s="90"/>
      <c r="CB58" s="97"/>
      <c r="CC58" s="97"/>
      <c r="CD58" s="97"/>
      <c r="CE58" s="97"/>
      <c r="CF58" s="97">
        <f t="shared" si="67"/>
        <v>0</v>
      </c>
      <c r="CG58" s="31">
        <f t="shared" si="68"/>
        <v>9.4943363228048375E-2</v>
      </c>
      <c r="CH58" s="32">
        <f t="shared" si="69"/>
        <v>0.19084093111165504</v>
      </c>
    </row>
    <row r="59" spans="1:86" s="83" customFormat="1" x14ac:dyDescent="0.25">
      <c r="A59" s="121" t="s">
        <v>132</v>
      </c>
      <c r="B59" s="90">
        <f>B61/(B63+B64)</f>
        <v>0.41070800374817268</v>
      </c>
      <c r="C59" s="98">
        <f t="shared" ref="C59:L59" si="73">C61/(C63+C64)</f>
        <v>0.58844077817040119</v>
      </c>
      <c r="D59" s="105">
        <v>0.58844077817040119</v>
      </c>
      <c r="E59" s="97">
        <f t="shared" si="73"/>
        <v>0.69245576016616583</v>
      </c>
      <c r="F59" s="97">
        <f t="shared" si="73"/>
        <v>0.760976540825544</v>
      </c>
      <c r="G59" s="97">
        <f t="shared" si="73"/>
        <v>0.87805049476696129</v>
      </c>
      <c r="H59" s="97">
        <f t="shared" si="73"/>
        <v>1.0453659959381998</v>
      </c>
      <c r="I59" s="97">
        <f t="shared" si="73"/>
        <v>1.2391623164431298</v>
      </c>
      <c r="J59" s="97">
        <f t="shared" si="73"/>
        <v>1.1780679395582423</v>
      </c>
      <c r="K59" s="97">
        <f t="shared" si="73"/>
        <v>1.3699071416774851</v>
      </c>
      <c r="L59" s="98">
        <f t="shared" si="73"/>
        <v>2.1798858316537162</v>
      </c>
      <c r="M59" s="97"/>
      <c r="P59" s="108" t="s">
        <v>19</v>
      </c>
      <c r="Q59" s="35">
        <f t="shared" ref="Q59:X59" si="74">SUM(Q49:Q58)</f>
        <v>100</v>
      </c>
      <c r="R59" s="113">
        <f t="shared" si="74"/>
        <v>100.00000000000001</v>
      </c>
      <c r="S59" s="103">
        <f t="shared" si="74"/>
        <v>99.999999999999972</v>
      </c>
      <c r="T59" s="103">
        <f t="shared" si="74"/>
        <v>100</v>
      </c>
      <c r="U59" s="103">
        <f t="shared" si="74"/>
        <v>100.00000000000001</v>
      </c>
      <c r="V59" s="103">
        <f t="shared" si="74"/>
        <v>52.499999999999993</v>
      </c>
      <c r="W59" s="104">
        <f t="shared" si="74"/>
        <v>47.500000000000014</v>
      </c>
      <c r="X59" s="36">
        <f t="shared" si="74"/>
        <v>99.999999999999972</v>
      </c>
      <c r="Y59" s="39"/>
      <c r="Z59" s="113" t="s">
        <v>19</v>
      </c>
      <c r="AA59" s="40">
        <f>SUM(AA49:AA58)</f>
        <v>99.999999999999972</v>
      </c>
      <c r="AB59" s="103">
        <f>SUM(AB49:AB58)</f>
        <v>100.00000000000001</v>
      </c>
      <c r="AC59" s="103">
        <f t="shared" ref="AC59:AD59" si="75">SUM(AC49:AC58)</f>
        <v>99.999999999999972</v>
      </c>
      <c r="AD59" s="103">
        <f t="shared" si="75"/>
        <v>100</v>
      </c>
      <c r="AE59" s="103">
        <f>SUM(AE49:AE58)</f>
        <v>11.5</v>
      </c>
      <c r="AF59" s="103">
        <f>SUM(AF49:AF58)</f>
        <v>88.499999999999986</v>
      </c>
      <c r="AG59" s="41">
        <f>SUM(AG49:AG58)</f>
        <v>99.999999999999986</v>
      </c>
      <c r="AH59" s="113">
        <f>SUM(AH49:AH58)</f>
        <v>100.00000000000001</v>
      </c>
      <c r="AI59" s="103">
        <f>SUM(AI49:AI58)</f>
        <v>99.999999999999972</v>
      </c>
      <c r="AJ59" s="103">
        <f t="shared" ref="AJ59:AK59" si="76">SUM(AJ49:AJ58)</f>
        <v>100</v>
      </c>
      <c r="AK59" s="103">
        <f t="shared" si="76"/>
        <v>100.00000000000001</v>
      </c>
      <c r="AL59" s="103">
        <f>SUM(AL49:AL58)</f>
        <v>12</v>
      </c>
      <c r="AM59" s="103">
        <f>SUM(AM49:AM58)</f>
        <v>87.999999999999986</v>
      </c>
      <c r="AN59" s="41">
        <f>SUM(AN49:AN58)</f>
        <v>100.00000000000001</v>
      </c>
      <c r="AO59" s="113">
        <f>SUM(AO49:AO58)</f>
        <v>100.00000000000001</v>
      </c>
      <c r="AP59" s="103">
        <f t="shared" ref="AP59:AR59" si="77">SUM(AP49:AP58)</f>
        <v>99.999999999999972</v>
      </c>
      <c r="AQ59" s="103">
        <f t="shared" si="77"/>
        <v>100</v>
      </c>
      <c r="AR59" s="103">
        <f t="shared" si="77"/>
        <v>100.00000000000001</v>
      </c>
      <c r="AS59" s="103">
        <f>SUM(AS49:AS58)</f>
        <v>13.499999999999998</v>
      </c>
      <c r="AT59" s="103">
        <f>SUM(AT49:AT58)</f>
        <v>86.500000000000043</v>
      </c>
      <c r="AU59" s="41">
        <f>SUM(AU49:AU58)</f>
        <v>100</v>
      </c>
      <c r="AV59" s="113">
        <f>SUM(AV49:AV58)</f>
        <v>100.00000000000001</v>
      </c>
      <c r="AW59" s="103">
        <f t="shared" ref="AW59:AY59" si="78">SUM(AW49:AW58)</f>
        <v>99.999999999999972</v>
      </c>
      <c r="AX59" s="103">
        <f t="shared" si="78"/>
        <v>100</v>
      </c>
      <c r="AY59" s="103">
        <f t="shared" si="78"/>
        <v>100.00000000000001</v>
      </c>
      <c r="AZ59" s="103">
        <f>SUM(AZ49:AZ58)</f>
        <v>11.25</v>
      </c>
      <c r="BA59" s="103">
        <f>SUM(BA49:BA58)</f>
        <v>75.250000000000028</v>
      </c>
      <c r="BB59" s="41">
        <f>SUM(BB49:BB58)</f>
        <v>100.00000000000001</v>
      </c>
      <c r="BC59" s="42" t="s">
        <v>19</v>
      </c>
      <c r="BD59" s="103">
        <f>SUM(BD49:BD58)</f>
        <v>100.00000000000001</v>
      </c>
      <c r="BE59" s="103">
        <f t="shared" ref="BE59:BG59" si="79">SUM(BE49:BE58)</f>
        <v>99.999999999999972</v>
      </c>
      <c r="BF59" s="103">
        <f t="shared" si="79"/>
        <v>100</v>
      </c>
      <c r="BG59" s="103">
        <f t="shared" si="79"/>
        <v>100.00000000000001</v>
      </c>
      <c r="BH59" s="103">
        <f>SUM(BH49:BH58)</f>
        <v>10.750000000000002</v>
      </c>
      <c r="BI59" s="103">
        <f>SUM(BI49:BI58)</f>
        <v>89.25</v>
      </c>
      <c r="BJ59" s="41">
        <f>SUM(BJ49:BJ58)</f>
        <v>99.999999999999986</v>
      </c>
      <c r="BK59" s="113">
        <f>SUM(BK49:BK58)</f>
        <v>100.00000000000001</v>
      </c>
      <c r="BL59" s="103">
        <f t="shared" ref="BL59:BO59" si="80">SUM(BL49:BL58)</f>
        <v>99.999999999999972</v>
      </c>
      <c r="BM59" s="103">
        <f t="shared" si="80"/>
        <v>100</v>
      </c>
      <c r="BN59" s="103">
        <f t="shared" si="80"/>
        <v>100.00000000000001</v>
      </c>
      <c r="BO59" s="103">
        <f t="shared" si="80"/>
        <v>100</v>
      </c>
      <c r="BP59" s="103">
        <f>SUM(BP49:BP58)</f>
        <v>13.75</v>
      </c>
      <c r="BQ59" s="103">
        <f>SUM(BQ49:BQ58)</f>
        <v>75.500000000000028</v>
      </c>
      <c r="BR59" s="41">
        <f>SUM(BR49:BR58)</f>
        <v>99.999999999999943</v>
      </c>
      <c r="BS59" s="113">
        <f>SUM(BS49:BS58)</f>
        <v>100.00000000000001</v>
      </c>
      <c r="BT59" s="103">
        <f t="shared" ref="BT59:BW59" si="81">SUM(BT49:BT58)</f>
        <v>99.999999999999972</v>
      </c>
      <c r="BU59" s="103">
        <f t="shared" si="81"/>
        <v>100</v>
      </c>
      <c r="BV59" s="103">
        <f t="shared" si="81"/>
        <v>100.00000000000001</v>
      </c>
      <c r="BW59" s="103">
        <f t="shared" si="81"/>
        <v>100</v>
      </c>
      <c r="BX59" s="103">
        <f>SUM(BX49:BX58)</f>
        <v>12.750000000000002</v>
      </c>
      <c r="BY59" s="103">
        <f t="shared" ref="BY59:CH59" si="82">SUM(BY49:BY58)</f>
        <v>62.75</v>
      </c>
      <c r="BZ59" s="41">
        <f t="shared" si="82"/>
        <v>99.999999999999986</v>
      </c>
      <c r="CA59" s="113">
        <f t="shared" si="82"/>
        <v>100.00000000000001</v>
      </c>
      <c r="CB59" s="103">
        <f t="shared" si="82"/>
        <v>99.999999999999972</v>
      </c>
      <c r="CC59" s="103">
        <f>SUM(CC49:CC58)</f>
        <v>100</v>
      </c>
      <c r="CD59" s="103">
        <f t="shared" si="82"/>
        <v>100.00000000000001</v>
      </c>
      <c r="CE59" s="103">
        <f t="shared" si="82"/>
        <v>100</v>
      </c>
      <c r="CF59" s="103">
        <f>SUM(CF49:CF58)</f>
        <v>13</v>
      </c>
      <c r="CG59" s="103">
        <f t="shared" si="82"/>
        <v>49.749999999999993</v>
      </c>
      <c r="CH59" s="41">
        <f t="shared" si="82"/>
        <v>100</v>
      </c>
    </row>
    <row r="60" spans="1:86" s="83" customFormat="1" x14ac:dyDescent="0.25">
      <c r="A60" s="121" t="s">
        <v>133</v>
      </c>
      <c r="B60" s="90">
        <f>B61/(B62+B63+B64)</f>
        <v>0.30924928261540174</v>
      </c>
      <c r="C60" s="98">
        <f t="shared" ref="C60:L60" si="83">C61/(C62+C63+C64)</f>
        <v>0.44366585172073364</v>
      </c>
      <c r="D60" s="105">
        <v>0.44366585172073364</v>
      </c>
      <c r="E60" s="97">
        <f t="shared" si="83"/>
        <v>0.51978457422956503</v>
      </c>
      <c r="F60" s="97">
        <f t="shared" si="83"/>
        <v>0.57205134561324877</v>
      </c>
      <c r="G60" s="97">
        <f t="shared" si="83"/>
        <v>0.6620145544937116</v>
      </c>
      <c r="H60" s="97">
        <f t="shared" si="83"/>
        <v>0.78742859966342038</v>
      </c>
      <c r="I60" s="97">
        <f t="shared" si="83"/>
        <v>0.93487855601503311</v>
      </c>
      <c r="J60" s="97">
        <f t="shared" si="83"/>
        <v>0.88154353616930037</v>
      </c>
      <c r="K60" s="97">
        <f t="shared" si="83"/>
        <v>1.0246180395785636</v>
      </c>
      <c r="L60" s="98">
        <f t="shared" si="83"/>
        <v>1.6397985537551458</v>
      </c>
      <c r="M60" s="97"/>
      <c r="O60" s="97"/>
      <c r="Q60" s="97"/>
      <c r="R60" s="97"/>
      <c r="S60" s="97"/>
      <c r="T60" s="97"/>
      <c r="Y60" s="97"/>
      <c r="AA60" s="97"/>
      <c r="AB60" s="97"/>
      <c r="AC60" s="97"/>
      <c r="AG60" s="97"/>
      <c r="AH60" s="97"/>
      <c r="AI60" s="97"/>
      <c r="AJ60" s="97"/>
      <c r="AN60" s="97"/>
      <c r="AO60" s="97"/>
      <c r="AP60" s="97"/>
      <c r="AQ60" s="97"/>
      <c r="AU60" s="97"/>
      <c r="AV60" s="97"/>
      <c r="AW60" s="97"/>
      <c r="BC60" s="97"/>
    </row>
    <row r="61" spans="1:86" s="83" customFormat="1" x14ac:dyDescent="0.25">
      <c r="A61" s="121" t="s">
        <v>38</v>
      </c>
      <c r="B61" s="90">
        <f>(2*B49)/101.94</f>
        <v>0.10132995992306344</v>
      </c>
      <c r="C61" s="98">
        <f>(2*C49)/101.94</f>
        <v>0.1348156524386292</v>
      </c>
      <c r="D61" s="105">
        <v>0.1348156524386292</v>
      </c>
      <c r="E61" s="97">
        <f t="shared" ref="E61:L61" si="84">(2*E49)/101.94</f>
        <v>0.15233407055212339</v>
      </c>
      <c r="F61" s="97">
        <f t="shared" si="84"/>
        <v>0.15769676405108465</v>
      </c>
      <c r="G61" s="97">
        <f t="shared" si="84"/>
        <v>0.16663103568082738</v>
      </c>
      <c r="H61" s="97">
        <f t="shared" si="84"/>
        <v>0.18027943122516291</v>
      </c>
      <c r="I61" s="97">
        <f t="shared" si="84"/>
        <v>0.18869874264581521</v>
      </c>
      <c r="J61" s="97">
        <f t="shared" si="84"/>
        <v>0.15112493414634373</v>
      </c>
      <c r="K61" s="97">
        <f t="shared" si="84"/>
        <v>0.13165599667788497</v>
      </c>
      <c r="L61" s="98">
        <f t="shared" si="84"/>
        <v>9.9364494023839137E-2</v>
      </c>
      <c r="M61" s="97"/>
      <c r="O61" s="97"/>
      <c r="Q61" s="97"/>
      <c r="R61" s="97"/>
      <c r="S61" s="97"/>
      <c r="T61" s="97"/>
      <c r="Y61" s="97"/>
      <c r="AA61" s="97"/>
      <c r="AB61" s="97"/>
      <c r="AC61" s="97"/>
      <c r="AG61" s="97"/>
      <c r="AH61" s="97"/>
      <c r="AI61" s="97"/>
      <c r="AJ61" s="97"/>
      <c r="AN61" s="97"/>
      <c r="AO61" s="97"/>
      <c r="AP61" s="97"/>
      <c r="AQ61" s="97"/>
      <c r="AU61" s="97"/>
      <c r="AV61" s="97"/>
      <c r="AW61" s="97"/>
      <c r="BC61" s="97"/>
    </row>
    <row r="62" spans="1:86" s="83" customFormat="1" x14ac:dyDescent="0.25">
      <c r="A62" s="121" t="s">
        <v>39</v>
      </c>
      <c r="B62" s="90">
        <f>B53/56.08</f>
        <v>8.094413521278955E-2</v>
      </c>
      <c r="C62" s="98">
        <f>C53/56.08</f>
        <v>7.4760966393795703E-2</v>
      </c>
      <c r="D62" s="105">
        <v>7.4760966393795703E-2</v>
      </c>
      <c r="E62" s="97">
        <f t="shared" ref="E62:L62" si="85">E53/56.08</f>
        <v>7.3080498307185854E-2</v>
      </c>
      <c r="F62" s="97">
        <f t="shared" si="85"/>
        <v>6.8439429570644944E-2</v>
      </c>
      <c r="G62" s="97">
        <f t="shared" si="85"/>
        <v>6.1929114690450128E-2</v>
      </c>
      <c r="H62" s="97">
        <f t="shared" si="85"/>
        <v>5.6491217822620676E-2</v>
      </c>
      <c r="I62" s="97">
        <f t="shared" si="85"/>
        <v>4.9563775948499755E-2</v>
      </c>
      <c r="J62" s="97">
        <f t="shared" si="85"/>
        <v>4.3150165221039774E-2</v>
      </c>
      <c r="K62" s="97">
        <f t="shared" si="85"/>
        <v>3.2386975224383108E-2</v>
      </c>
      <c r="L62" s="98">
        <f t="shared" si="85"/>
        <v>1.501311893122028E-2</v>
      </c>
      <c r="M62" s="97"/>
      <c r="O62" s="97"/>
      <c r="Q62" s="97"/>
      <c r="R62" s="97"/>
      <c r="S62" s="97"/>
      <c r="T62" s="97"/>
      <c r="Y62" s="97"/>
      <c r="AA62" s="97"/>
      <c r="AB62" s="97"/>
      <c r="AC62" s="97"/>
      <c r="AG62" s="97"/>
      <c r="AH62" s="97"/>
      <c r="AI62" s="97"/>
      <c r="AJ62" s="97"/>
      <c r="AN62" s="97"/>
      <c r="AO62" s="97"/>
      <c r="AP62" s="97"/>
      <c r="AQ62" s="97"/>
      <c r="AU62" s="97"/>
      <c r="AV62" s="97"/>
      <c r="AW62" s="97"/>
      <c r="BC62" s="97"/>
    </row>
    <row r="63" spans="1:86" s="83" customFormat="1" x14ac:dyDescent="0.25">
      <c r="A63" s="121" t="s">
        <v>40</v>
      </c>
      <c r="B63" s="90">
        <f>(2*B53)/61.982</f>
        <v>0.14647307614253294</v>
      </c>
      <c r="C63" s="98">
        <f>(2*C53)/61.982</f>
        <v>0.13528427593056253</v>
      </c>
      <c r="D63" s="105">
        <v>0.13528427593056253</v>
      </c>
      <c r="E63" s="97">
        <f t="shared" ref="E63:L63" si="86">(2*E53)/61.982</f>
        <v>0.13224337211019271</v>
      </c>
      <c r="F63" s="97">
        <f t="shared" si="86"/>
        <v>0.12384509084320507</v>
      </c>
      <c r="G63" s="97">
        <f t="shared" si="86"/>
        <v>0.11206430098546169</v>
      </c>
      <c r="H63" s="97">
        <f t="shared" si="86"/>
        <v>0.10222411330684933</v>
      </c>
      <c r="I63" s="97">
        <f t="shared" si="86"/>
        <v>8.9688508121450294E-2</v>
      </c>
      <c r="J63" s="97">
        <f t="shared" si="86"/>
        <v>7.8082709999545377E-2</v>
      </c>
      <c r="K63" s="97">
        <f t="shared" si="86"/>
        <v>5.8606097595540793E-2</v>
      </c>
      <c r="L63" s="98">
        <f t="shared" si="86"/>
        <v>2.7167103664381055E-2</v>
      </c>
      <c r="M63" s="97"/>
      <c r="O63" s="97"/>
      <c r="Q63" s="97"/>
      <c r="R63" s="97"/>
      <c r="S63" s="97"/>
      <c r="T63" s="97"/>
      <c r="Y63" s="97"/>
      <c r="AA63" s="97"/>
      <c r="AB63" s="97"/>
      <c r="AC63" s="97"/>
      <c r="AG63" s="97"/>
      <c r="AH63" s="97"/>
      <c r="AI63" s="97"/>
      <c r="AJ63" s="97"/>
      <c r="AN63" s="97"/>
      <c r="AO63" s="97"/>
      <c r="AP63" s="97"/>
      <c r="AQ63" s="97"/>
      <c r="AU63" s="97"/>
      <c r="AV63" s="97"/>
      <c r="AW63" s="97"/>
      <c r="BC63" s="97"/>
    </row>
    <row r="64" spans="1:86" s="83" customFormat="1" x14ac:dyDescent="0.25">
      <c r="A64" s="121" t="s">
        <v>41</v>
      </c>
      <c r="B64" s="90">
        <f>(2*B54)/94.2</f>
        <v>0.10024712165812724</v>
      </c>
      <c r="C64" s="98">
        <f>(2*C54)/94.2</f>
        <v>9.3822301043593362E-2</v>
      </c>
      <c r="D64" s="105">
        <v>9.3822301043593362E-2</v>
      </c>
      <c r="E64" s="97">
        <f t="shared" ref="E64:L64" si="87">(2*E54)/94.2</f>
        <v>8.7747679037346871E-2</v>
      </c>
      <c r="F64" s="97">
        <f t="shared" si="87"/>
        <v>8.3384377597448323E-2</v>
      </c>
      <c r="G64" s="97">
        <f t="shared" si="87"/>
        <v>7.770956358601952E-2</v>
      </c>
      <c r="H64" s="97">
        <f t="shared" si="87"/>
        <v>7.0231688704736936E-2</v>
      </c>
      <c r="I64" s="97">
        <f t="shared" si="87"/>
        <v>6.2590769695400075E-2</v>
      </c>
      <c r="J64" s="97">
        <f t="shared" si="87"/>
        <v>5.0199309289608099E-2</v>
      </c>
      <c r="K64" s="97">
        <f t="shared" si="87"/>
        <v>3.7499684082966965E-2</v>
      </c>
      <c r="L64" s="98">
        <f t="shared" si="87"/>
        <v>1.8415326654209873E-2</v>
      </c>
      <c r="M64" s="97"/>
      <c r="O64" s="97"/>
      <c r="Q64" s="97"/>
      <c r="R64" s="97"/>
      <c r="S64" s="97"/>
      <c r="T64" s="97"/>
      <c r="Y64" s="97"/>
      <c r="AA64" s="97"/>
      <c r="AB64" s="97"/>
      <c r="AC64" s="97"/>
      <c r="AG64" s="97"/>
      <c r="AH64" s="97"/>
      <c r="AI64" s="97"/>
      <c r="AJ64" s="97"/>
      <c r="AN64" s="97"/>
      <c r="AO64" s="97"/>
      <c r="AP64" s="97"/>
      <c r="AQ64" s="97"/>
      <c r="AU64" s="97"/>
      <c r="AV64" s="97"/>
      <c r="AW64" s="97"/>
      <c r="BC64" s="97"/>
    </row>
    <row r="65" spans="1:55" s="83" customFormat="1" x14ac:dyDescent="0.25">
      <c r="A65" s="121"/>
      <c r="B65" s="91"/>
      <c r="C65" s="93"/>
      <c r="D65" s="124"/>
      <c r="E65" s="92"/>
      <c r="F65" s="92"/>
      <c r="G65" s="92"/>
      <c r="H65" s="92"/>
      <c r="I65" s="92"/>
      <c r="J65" s="92"/>
      <c r="K65" s="92"/>
      <c r="L65" s="93"/>
      <c r="M65" s="92"/>
      <c r="O65" s="97"/>
      <c r="Q65" s="97"/>
      <c r="R65" s="97"/>
      <c r="S65" s="97"/>
      <c r="T65" s="97"/>
      <c r="Y65" s="97"/>
      <c r="AA65" s="97"/>
      <c r="AB65" s="97"/>
      <c r="AC65" s="97"/>
      <c r="AG65" s="97"/>
      <c r="AH65" s="97"/>
      <c r="AI65" s="97"/>
      <c r="AJ65" s="97"/>
      <c r="AN65" s="97"/>
      <c r="AO65" s="97"/>
      <c r="AP65" s="97"/>
      <c r="AQ65" s="97"/>
      <c r="AU65" s="97"/>
      <c r="AV65" s="97"/>
      <c r="AW65" s="97"/>
      <c r="BC65" s="97"/>
    </row>
    <row r="66" spans="1:55" s="83" customFormat="1" x14ac:dyDescent="0.25">
      <c r="A66" s="112" t="s">
        <v>42</v>
      </c>
      <c r="B66" s="130"/>
      <c r="C66" s="118"/>
      <c r="D66" s="124"/>
      <c r="E66" s="92"/>
      <c r="F66" s="92"/>
      <c r="G66" s="92"/>
      <c r="H66" s="92"/>
      <c r="I66" s="92"/>
      <c r="J66" s="92"/>
      <c r="K66" s="92"/>
      <c r="L66" s="93"/>
      <c r="M66" s="92"/>
      <c r="O66" s="97"/>
      <c r="P66" s="84" t="s">
        <v>64</v>
      </c>
      <c r="Q66" s="97"/>
      <c r="R66" s="97"/>
      <c r="S66" s="97"/>
      <c r="T66" s="97"/>
      <c r="Y66" s="97"/>
      <c r="AA66" s="97"/>
      <c r="AB66" s="97"/>
      <c r="AC66" s="97"/>
      <c r="AG66" s="97"/>
      <c r="AH66" s="97"/>
      <c r="AI66" s="97"/>
      <c r="AJ66" s="97"/>
      <c r="AN66" s="97"/>
      <c r="AO66" s="97"/>
      <c r="AP66" s="97"/>
      <c r="AQ66" s="97"/>
      <c r="AU66" s="97"/>
      <c r="AV66" s="97"/>
      <c r="AW66" s="97"/>
      <c r="BC66" s="97"/>
    </row>
    <row r="67" spans="1:55" s="83" customFormat="1" x14ac:dyDescent="0.25">
      <c r="A67" s="131" t="s">
        <v>43</v>
      </c>
      <c r="B67" s="85"/>
      <c r="C67" s="132">
        <f>(R47*Q59)+(S47*Q59)</f>
        <v>31.5</v>
      </c>
      <c r="D67" s="133"/>
      <c r="E67" s="132">
        <f>AB47*AA59+AC47*AA59</f>
        <v>9.4999999999999964</v>
      </c>
      <c r="F67" s="107">
        <f>AH47*AG59+AI47*AG59</f>
        <v>7.9999999999999991</v>
      </c>
      <c r="G67" s="132">
        <f>AO47*AN59+AP47*AN59</f>
        <v>9.5000000000000018</v>
      </c>
      <c r="H67" s="132">
        <f>AV47*AU59+AW47*AU59</f>
        <v>8</v>
      </c>
      <c r="I67" s="132">
        <f>BD47*BB59+BE47*BB59</f>
        <v>8.0000000000000018</v>
      </c>
      <c r="J67" s="132">
        <f>BK47*BJ59+BL47*BJ59</f>
        <v>9</v>
      </c>
      <c r="K67" s="132">
        <f>BS47*BR59+BT47*BR59</f>
        <v>7.9999999999999956</v>
      </c>
      <c r="L67" s="134">
        <f>CA47*BZ59+CB47*BZ59</f>
        <v>7.9999999999999991</v>
      </c>
      <c r="P67" s="135" t="s">
        <v>65</v>
      </c>
      <c r="Q67" s="136" t="s">
        <v>50</v>
      </c>
      <c r="R67" s="136" t="s">
        <v>51</v>
      </c>
      <c r="S67" s="137" t="s">
        <v>54</v>
      </c>
      <c r="T67" s="97" t="s">
        <v>110</v>
      </c>
      <c r="Y67" s="97"/>
      <c r="AA67" s="97"/>
      <c r="AB67" s="97"/>
      <c r="AC67" s="97"/>
      <c r="AG67" s="97"/>
      <c r="AH67" s="97"/>
      <c r="AI67" s="97"/>
      <c r="AJ67" s="97"/>
      <c r="AN67" s="97"/>
      <c r="AO67" s="97"/>
      <c r="AP67" s="97"/>
      <c r="AQ67" s="97"/>
      <c r="AU67" s="97"/>
      <c r="AV67" s="97"/>
      <c r="AW67" s="97"/>
      <c r="BC67" s="97"/>
    </row>
    <row r="68" spans="1:55" s="83" customFormat="1" x14ac:dyDescent="0.25">
      <c r="A68" s="121" t="s">
        <v>50</v>
      </c>
      <c r="B68" s="94"/>
      <c r="C68" s="92">
        <f>T47*100</f>
        <v>15.5</v>
      </c>
      <c r="D68" s="91"/>
      <c r="E68" s="92">
        <f>AD47*100</f>
        <v>2</v>
      </c>
      <c r="F68" s="97">
        <f>AJ47*AG59</f>
        <v>1.9999999999999998</v>
      </c>
      <c r="G68" s="92">
        <f>AQ47*AN59</f>
        <v>2.0000000000000004</v>
      </c>
      <c r="H68" s="92">
        <f>AX47*AU59</f>
        <v>2</v>
      </c>
      <c r="I68" s="92">
        <f>BF47*BD59</f>
        <v>1.0000000000000002</v>
      </c>
      <c r="J68" s="92">
        <f>BM47*BJ59</f>
        <v>0.99999999999999989</v>
      </c>
      <c r="K68" s="92">
        <f>BU47*BR59</f>
        <v>1.9999999999999989</v>
      </c>
      <c r="L68" s="93">
        <f>CC47*BZ59</f>
        <v>1.9999999999999998</v>
      </c>
      <c r="O68" s="106" t="s">
        <v>45</v>
      </c>
      <c r="P68" s="138">
        <f>C67/$C$71*100</f>
        <v>60</v>
      </c>
      <c r="Q68" s="138">
        <f>C68/$C$71*100</f>
        <v>29.523809523809526</v>
      </c>
      <c r="R68" s="138">
        <f>C69/$C$71*100</f>
        <v>10.476190476190476</v>
      </c>
      <c r="S68" s="134"/>
      <c r="T68" s="97">
        <f>SUM(P68:S68)</f>
        <v>100</v>
      </c>
      <c r="Y68" s="97"/>
      <c r="AA68" s="97"/>
      <c r="AB68" s="97"/>
      <c r="AC68" s="97"/>
      <c r="AG68" s="97"/>
      <c r="AH68" s="97"/>
      <c r="AI68" s="97"/>
      <c r="AJ68" s="97"/>
      <c r="AN68" s="97"/>
      <c r="AO68" s="97"/>
      <c r="AP68" s="97"/>
      <c r="AQ68" s="97"/>
      <c r="AU68" s="97"/>
      <c r="AV68" s="97"/>
      <c r="AW68" s="97"/>
      <c r="BC68" s="97"/>
    </row>
    <row r="69" spans="1:55" s="83" customFormat="1" x14ac:dyDescent="0.25">
      <c r="A69" s="121" t="s">
        <v>51</v>
      </c>
      <c r="B69" s="94"/>
      <c r="C69" s="92">
        <f>U47*Q59</f>
        <v>5.5</v>
      </c>
      <c r="D69" s="91"/>
      <c r="E69" s="92"/>
      <c r="F69" s="97">
        <f>AK47*AG59</f>
        <v>1.9999999999999998</v>
      </c>
      <c r="G69" s="92">
        <f>AR47*AN59</f>
        <v>2.0000000000000004</v>
      </c>
      <c r="H69" s="92">
        <f>AY47*AU59</f>
        <v>1.25</v>
      </c>
      <c r="I69" s="92">
        <f>BG47*BB59</f>
        <v>1.7500000000000004</v>
      </c>
      <c r="J69" s="92">
        <f>BN47*BJ59</f>
        <v>1.4999999999999998</v>
      </c>
      <c r="K69" s="92">
        <f>BV47*BR59</f>
        <v>1.7499999999999991</v>
      </c>
      <c r="L69" s="93">
        <f>CD47*BZ59</f>
        <v>1.9999999999999998</v>
      </c>
      <c r="O69" s="108" t="s">
        <v>46</v>
      </c>
      <c r="P69" s="139">
        <f>L74/L78*100</f>
        <v>69.035532994923855</v>
      </c>
      <c r="Q69" s="139">
        <f>L75/L78*100</f>
        <v>14.213197969543149</v>
      </c>
      <c r="R69" s="139">
        <f>L76/L78*100</f>
        <v>12.436548223350256</v>
      </c>
      <c r="S69" s="118">
        <f>L77/L78*100</f>
        <v>4.3147208121827409</v>
      </c>
      <c r="T69" s="97">
        <f t="shared" ref="T69:T70" si="88">SUM(P69:S69)</f>
        <v>100</v>
      </c>
      <c r="Y69" s="97"/>
      <c r="AA69" s="97"/>
      <c r="AB69" s="97"/>
      <c r="AC69" s="97"/>
      <c r="AG69" s="97"/>
      <c r="AH69" s="97"/>
      <c r="AI69" s="97"/>
      <c r="AJ69" s="97"/>
      <c r="AN69" s="97"/>
      <c r="AO69" s="97"/>
      <c r="AP69" s="97"/>
      <c r="AQ69" s="97"/>
      <c r="AU69" s="97"/>
      <c r="AV69" s="97"/>
      <c r="AW69" s="97"/>
      <c r="BC69" s="97"/>
    </row>
    <row r="70" spans="1:55" s="83" customFormat="1" x14ac:dyDescent="0.25">
      <c r="A70" s="128" t="s">
        <v>54</v>
      </c>
      <c r="B70" s="130"/>
      <c r="C70" s="140"/>
      <c r="D70" s="141"/>
      <c r="E70" s="117"/>
      <c r="F70" s="117"/>
      <c r="G70" s="117"/>
      <c r="H70" s="100"/>
      <c r="I70" s="100"/>
      <c r="J70" s="117">
        <f>BO47*BJ59</f>
        <v>2.2499999999999996</v>
      </c>
      <c r="K70" s="117">
        <f>BW47*BR59</f>
        <v>0.99999999999999944</v>
      </c>
      <c r="L70" s="118">
        <f>CE47*BZ59</f>
        <v>0.99999999999999989</v>
      </c>
      <c r="O70" s="108" t="s">
        <v>66</v>
      </c>
      <c r="P70" s="139">
        <f>(C74+L74)/(C78+L78)*100</f>
        <v>65.894039735099327</v>
      </c>
      <c r="Q70" s="139">
        <f>(C75+L75)/(C78+L78)*100</f>
        <v>19.536423841059602</v>
      </c>
      <c r="R70" s="139">
        <f>(C76+L76)/(C78+L78)*100</f>
        <v>11.754966887417218</v>
      </c>
      <c r="S70" s="118">
        <f>(C77+L77)/(C78+L78)*100</f>
        <v>2.8145695364238406</v>
      </c>
      <c r="T70" s="97">
        <f t="shared" si="88"/>
        <v>100</v>
      </c>
      <c r="Y70" s="97"/>
      <c r="AA70" s="97"/>
      <c r="AB70" s="97"/>
      <c r="AC70" s="97"/>
      <c r="AG70" s="97"/>
      <c r="AH70" s="97"/>
      <c r="AI70" s="97"/>
      <c r="AJ70" s="97"/>
      <c r="AN70" s="97"/>
      <c r="AO70" s="97"/>
      <c r="AP70" s="97"/>
      <c r="AQ70" s="97"/>
      <c r="AU70" s="97"/>
      <c r="AV70" s="97"/>
      <c r="AW70" s="97"/>
      <c r="BC70" s="97"/>
    </row>
    <row r="71" spans="1:55" s="83" customFormat="1" x14ac:dyDescent="0.25">
      <c r="A71" s="142" t="s">
        <v>67</v>
      </c>
      <c r="B71" s="143"/>
      <c r="C71" s="144">
        <f t="shared" ref="C71:L71" si="89">SUM(C67:C70)</f>
        <v>52.5</v>
      </c>
      <c r="D71" s="145"/>
      <c r="E71" s="144">
        <f t="shared" si="89"/>
        <v>11.499999999999996</v>
      </c>
      <c r="F71" s="144">
        <f t="shared" si="89"/>
        <v>11.999999999999998</v>
      </c>
      <c r="G71" s="144">
        <f t="shared" si="89"/>
        <v>13.500000000000002</v>
      </c>
      <c r="H71" s="144">
        <f t="shared" si="89"/>
        <v>11.25</v>
      </c>
      <c r="I71" s="144">
        <f t="shared" si="89"/>
        <v>10.750000000000002</v>
      </c>
      <c r="J71" s="144">
        <f t="shared" si="89"/>
        <v>13.75</v>
      </c>
      <c r="K71" s="144">
        <f t="shared" si="89"/>
        <v>12.749999999999993</v>
      </c>
      <c r="L71" s="146">
        <f t="shared" si="89"/>
        <v>12.999999999999998</v>
      </c>
      <c r="M71" s="129"/>
      <c r="O71" s="97"/>
      <c r="Q71" s="97"/>
      <c r="R71" s="97"/>
      <c r="S71" s="97"/>
      <c r="T71" s="97"/>
      <c r="Y71" s="97"/>
      <c r="AA71" s="97"/>
      <c r="AB71" s="97"/>
      <c r="AC71" s="97"/>
      <c r="AG71" s="97"/>
      <c r="AH71" s="97"/>
      <c r="AI71" s="97"/>
      <c r="AJ71" s="97"/>
      <c r="AN71" s="97"/>
      <c r="AO71" s="97"/>
      <c r="AP71" s="97"/>
      <c r="AQ71" s="97"/>
      <c r="AU71" s="97"/>
      <c r="AV71" s="97"/>
      <c r="AW71" s="97"/>
      <c r="BC71" s="97"/>
    </row>
    <row r="72" spans="1:55" s="83" customFormat="1" x14ac:dyDescent="0.25">
      <c r="A72" s="147"/>
      <c r="B72" s="94"/>
      <c r="D72" s="94"/>
      <c r="E72" s="97"/>
      <c r="G72" s="97"/>
      <c r="H72" s="97"/>
      <c r="I72" s="97"/>
      <c r="J72" s="97"/>
      <c r="L72" s="96"/>
      <c r="O72" s="97"/>
      <c r="Q72" s="97"/>
      <c r="R72" s="97"/>
      <c r="S72" s="97"/>
      <c r="W72" s="97"/>
      <c r="X72" s="97"/>
      <c r="Y72" s="97"/>
      <c r="Z72" s="97"/>
      <c r="AD72" s="97"/>
      <c r="AE72" s="97"/>
      <c r="AF72" s="97"/>
      <c r="AG72" s="97"/>
      <c r="AK72" s="97"/>
      <c r="AL72" s="97"/>
      <c r="AM72" s="97"/>
      <c r="AS72" s="97"/>
    </row>
    <row r="73" spans="1:55" s="83" customFormat="1" x14ac:dyDescent="0.25">
      <c r="A73" s="112" t="s">
        <v>44</v>
      </c>
      <c r="B73" s="91"/>
      <c r="C73" s="92"/>
      <c r="D73" s="91"/>
      <c r="E73" s="92"/>
      <c r="F73" s="92"/>
      <c r="G73" s="92"/>
      <c r="H73" s="92"/>
      <c r="I73" s="92"/>
      <c r="J73" s="92"/>
      <c r="K73" s="92"/>
      <c r="L73" s="93"/>
      <c r="M73" s="92"/>
      <c r="O73" s="97"/>
      <c r="P73" s="84"/>
      <c r="Q73" s="97"/>
      <c r="R73" s="97"/>
      <c r="S73" s="97"/>
      <c r="W73" s="97"/>
      <c r="X73" s="97"/>
      <c r="Y73" s="97"/>
      <c r="Z73" s="97"/>
      <c r="AD73" s="97"/>
      <c r="AE73" s="97"/>
      <c r="AF73" s="97"/>
      <c r="AG73" s="97"/>
      <c r="AK73" s="97"/>
      <c r="AL73" s="97"/>
      <c r="AM73" s="97"/>
      <c r="AS73" s="97"/>
    </row>
    <row r="74" spans="1:55" s="83" customFormat="1" x14ac:dyDescent="0.25">
      <c r="A74" s="131" t="s">
        <v>43</v>
      </c>
      <c r="B74" s="133"/>
      <c r="C74" s="148">
        <f t="shared" ref="C74:E76" si="90">C67</f>
        <v>31.5</v>
      </c>
      <c r="D74" s="149"/>
      <c r="E74" s="132">
        <f t="shared" si="90"/>
        <v>9.4999999999999964</v>
      </c>
      <c r="F74" s="132">
        <f t="shared" ref="F74:L77" si="91">E74+F67</f>
        <v>17.499999999999996</v>
      </c>
      <c r="G74" s="132">
        <f t="shared" si="91"/>
        <v>27</v>
      </c>
      <c r="H74" s="132">
        <f t="shared" si="91"/>
        <v>35</v>
      </c>
      <c r="I74" s="132">
        <f t="shared" si="91"/>
        <v>43</v>
      </c>
      <c r="J74" s="132">
        <f t="shared" si="91"/>
        <v>52</v>
      </c>
      <c r="K74" s="132">
        <f t="shared" si="91"/>
        <v>59.999999999999993</v>
      </c>
      <c r="L74" s="134">
        <f>K74+L67</f>
        <v>67.999999999999986</v>
      </c>
      <c r="M74" s="92"/>
      <c r="O74" s="97"/>
      <c r="Q74" s="97"/>
      <c r="R74" s="97"/>
      <c r="S74" s="97"/>
      <c r="W74" s="97"/>
      <c r="X74" s="97"/>
      <c r="Y74" s="97"/>
      <c r="Z74" s="97"/>
      <c r="AD74" s="97"/>
      <c r="AE74" s="97"/>
      <c r="AF74" s="97"/>
      <c r="AG74" s="97"/>
      <c r="AK74" s="97"/>
      <c r="AL74" s="97"/>
      <c r="AM74" s="97"/>
      <c r="AS74" s="97"/>
    </row>
    <row r="75" spans="1:55" s="83" customFormat="1" x14ac:dyDescent="0.25">
      <c r="A75" s="121" t="s">
        <v>50</v>
      </c>
      <c r="B75" s="91"/>
      <c r="C75" s="129">
        <f t="shared" si="90"/>
        <v>15.5</v>
      </c>
      <c r="D75" s="150"/>
      <c r="E75" s="92">
        <f t="shared" si="90"/>
        <v>2</v>
      </c>
      <c r="F75" s="92">
        <f t="shared" si="91"/>
        <v>4</v>
      </c>
      <c r="G75" s="92">
        <f t="shared" si="91"/>
        <v>6</v>
      </c>
      <c r="H75" s="92">
        <f t="shared" si="91"/>
        <v>8</v>
      </c>
      <c r="I75" s="92">
        <f t="shared" si="91"/>
        <v>9</v>
      </c>
      <c r="J75" s="92">
        <f t="shared" si="91"/>
        <v>10</v>
      </c>
      <c r="K75" s="92">
        <f t="shared" si="91"/>
        <v>11.999999999999998</v>
      </c>
      <c r="L75" s="93">
        <f t="shared" si="91"/>
        <v>13.999999999999998</v>
      </c>
      <c r="M75" s="92"/>
      <c r="O75" s="97"/>
      <c r="Q75" s="97"/>
      <c r="R75" s="97"/>
      <c r="S75" s="97"/>
      <c r="W75" s="97"/>
      <c r="X75" s="97"/>
      <c r="Y75" s="97"/>
      <c r="Z75" s="97"/>
      <c r="AD75" s="97"/>
      <c r="AE75" s="97"/>
      <c r="AF75" s="97"/>
      <c r="AG75" s="97"/>
      <c r="AK75" s="97"/>
      <c r="AL75" s="97"/>
      <c r="AM75" s="97"/>
      <c r="AS75" s="97"/>
    </row>
    <row r="76" spans="1:55" s="83" customFormat="1" x14ac:dyDescent="0.25">
      <c r="A76" s="121" t="s">
        <v>51</v>
      </c>
      <c r="B76" s="91"/>
      <c r="C76" s="129">
        <f t="shared" si="90"/>
        <v>5.5</v>
      </c>
      <c r="D76" s="150"/>
      <c r="E76" s="129"/>
      <c r="F76" s="92">
        <f t="shared" si="91"/>
        <v>1.9999999999999998</v>
      </c>
      <c r="G76" s="92">
        <f t="shared" si="91"/>
        <v>4</v>
      </c>
      <c r="H76" s="92">
        <f t="shared" si="91"/>
        <v>5.25</v>
      </c>
      <c r="I76" s="92">
        <f t="shared" si="91"/>
        <v>7</v>
      </c>
      <c r="J76" s="92">
        <f t="shared" si="91"/>
        <v>8.5</v>
      </c>
      <c r="K76" s="92">
        <f t="shared" si="91"/>
        <v>10.25</v>
      </c>
      <c r="L76" s="93">
        <f t="shared" si="91"/>
        <v>12.25</v>
      </c>
      <c r="M76" s="92"/>
      <c r="O76" s="97"/>
      <c r="Q76" s="97"/>
      <c r="R76" s="97"/>
      <c r="S76" s="97"/>
      <c r="W76" s="97"/>
      <c r="X76" s="97"/>
      <c r="Y76" s="97"/>
      <c r="Z76" s="97"/>
      <c r="AD76" s="97"/>
      <c r="AE76" s="97"/>
      <c r="AF76" s="97"/>
      <c r="AG76" s="97"/>
      <c r="AK76" s="97"/>
      <c r="AL76" s="97"/>
      <c r="AM76" s="97"/>
      <c r="AS76" s="97"/>
    </row>
    <row r="77" spans="1:55" s="83" customFormat="1" x14ac:dyDescent="0.25">
      <c r="A77" s="128" t="s">
        <v>54</v>
      </c>
      <c r="B77" s="130"/>
      <c r="C77" s="117"/>
      <c r="D77" s="130"/>
      <c r="E77" s="151"/>
      <c r="F77" s="151"/>
      <c r="G77" s="151"/>
      <c r="H77" s="151"/>
      <c r="I77" s="151"/>
      <c r="J77" s="117">
        <f t="shared" si="91"/>
        <v>2.2499999999999996</v>
      </c>
      <c r="K77" s="117">
        <f t="shared" si="91"/>
        <v>3.2499999999999991</v>
      </c>
      <c r="L77" s="118">
        <f t="shared" si="91"/>
        <v>4.2499999999999991</v>
      </c>
      <c r="M77" s="92"/>
      <c r="O77" s="97"/>
      <c r="Q77" s="97"/>
      <c r="R77" s="97"/>
      <c r="S77" s="97"/>
      <c r="W77" s="97"/>
      <c r="X77" s="97"/>
      <c r="Y77" s="97"/>
      <c r="Z77" s="97"/>
      <c r="AD77" s="97"/>
      <c r="AE77" s="97"/>
      <c r="AF77" s="97"/>
      <c r="AG77" s="97"/>
      <c r="AK77" s="97"/>
      <c r="AL77" s="97"/>
      <c r="AM77" s="97"/>
      <c r="AS77" s="97"/>
    </row>
    <row r="78" spans="1:55" s="83" customFormat="1" x14ac:dyDescent="0.25">
      <c r="A78" s="142" t="s">
        <v>67</v>
      </c>
      <c r="B78" s="145">
        <v>0</v>
      </c>
      <c r="C78" s="114">
        <f t="shared" ref="C78:L78" si="92">SUM(C74:C77)</f>
        <v>52.5</v>
      </c>
      <c r="D78" s="145">
        <v>0</v>
      </c>
      <c r="E78" s="114">
        <f t="shared" si="92"/>
        <v>11.499999999999996</v>
      </c>
      <c r="F78" s="114">
        <f t="shared" si="92"/>
        <v>23.499999999999996</v>
      </c>
      <c r="G78" s="114">
        <f t="shared" si="92"/>
        <v>37</v>
      </c>
      <c r="H78" s="114">
        <f t="shared" si="92"/>
        <v>48.25</v>
      </c>
      <c r="I78" s="114">
        <f t="shared" si="92"/>
        <v>59</v>
      </c>
      <c r="J78" s="114">
        <f t="shared" si="92"/>
        <v>72.75</v>
      </c>
      <c r="K78" s="114">
        <f t="shared" si="92"/>
        <v>85.499999999999986</v>
      </c>
      <c r="L78" s="115">
        <f t="shared" si="92"/>
        <v>98.499999999999986</v>
      </c>
      <c r="M78" s="129"/>
      <c r="O78" s="97"/>
      <c r="Q78" s="97"/>
      <c r="R78" s="97"/>
      <c r="S78" s="97"/>
      <c r="W78" s="97"/>
      <c r="X78" s="97"/>
      <c r="Y78" s="97"/>
      <c r="Z78" s="97"/>
      <c r="AD78" s="97"/>
      <c r="AE78" s="97"/>
      <c r="AF78" s="97"/>
      <c r="AG78" s="97"/>
      <c r="AK78" s="97"/>
      <c r="AL78" s="97"/>
      <c r="AM78" s="97"/>
      <c r="AS78" s="97"/>
    </row>
    <row r="79" spans="1:55" s="83" customFormat="1" x14ac:dyDescent="0.25">
      <c r="G79" s="84"/>
      <c r="O79" s="97"/>
      <c r="Q79" s="97"/>
      <c r="R79" s="97"/>
      <c r="S79" s="97"/>
      <c r="W79" s="97"/>
      <c r="X79" s="97"/>
      <c r="Y79" s="97"/>
      <c r="Z79" s="97"/>
      <c r="AD79" s="97"/>
      <c r="AE79" s="97"/>
      <c r="AF79" s="97"/>
      <c r="AG79" s="97"/>
      <c r="AK79" s="97"/>
      <c r="AL79" s="97"/>
      <c r="AM79" s="97"/>
      <c r="AS79" s="97"/>
    </row>
    <row r="80" spans="1:55" s="83" customFormat="1" x14ac:dyDescent="0.25">
      <c r="H80" s="97"/>
      <c r="J80" s="97"/>
      <c r="K80" s="97"/>
      <c r="L80" s="97"/>
      <c r="M80" s="97"/>
      <c r="R80" s="97"/>
      <c r="T80" s="97"/>
      <c r="U80" s="97"/>
      <c r="V80" s="97"/>
      <c r="Z80" s="97"/>
      <c r="AA80" s="97"/>
      <c r="AB80" s="97"/>
      <c r="AC80" s="97"/>
      <c r="AG80" s="97"/>
      <c r="AH80" s="97"/>
      <c r="AI80" s="97"/>
      <c r="AJ80" s="97"/>
      <c r="AN80" s="97"/>
      <c r="AO80" s="97"/>
      <c r="AP80" s="97"/>
      <c r="AV80" s="97"/>
    </row>
    <row r="81" spans="1:86" s="83" customFormat="1" ht="18.75" x14ac:dyDescent="0.3">
      <c r="A81" s="82" t="s">
        <v>136</v>
      </c>
      <c r="G81" s="84"/>
      <c r="I81" s="97"/>
      <c r="J81" s="97"/>
      <c r="K81" s="97"/>
      <c r="O81" s="97"/>
      <c r="P81" s="97"/>
      <c r="Q81" s="97"/>
      <c r="U81" s="97"/>
      <c r="V81" s="97"/>
      <c r="W81" s="97"/>
      <c r="AA81" s="97"/>
      <c r="AB81" s="97"/>
      <c r="AC81" s="97"/>
      <c r="AH81" s="97"/>
      <c r="AI81" s="97"/>
      <c r="AN81" s="97"/>
      <c r="AO81" s="97"/>
      <c r="AT81" s="97"/>
      <c r="AU81" s="97"/>
      <c r="AZ81" s="97"/>
      <c r="BA81" s="97"/>
    </row>
    <row r="82" spans="1:86" s="83" customFormat="1" x14ac:dyDescent="0.25">
      <c r="G82" s="1"/>
      <c r="J82" s="97"/>
    </row>
    <row r="83" spans="1:86" s="83" customFormat="1" x14ac:dyDescent="0.25">
      <c r="A83" s="83" t="s">
        <v>0</v>
      </c>
    </row>
    <row r="84" spans="1:86" s="83" customFormat="1" x14ac:dyDescent="0.25">
      <c r="B84" s="83" t="s">
        <v>1</v>
      </c>
    </row>
    <row r="85" spans="1:86" s="83" customFormat="1" x14ac:dyDescent="0.25">
      <c r="A85" s="119"/>
      <c r="B85" s="23" t="s">
        <v>45</v>
      </c>
      <c r="C85" s="86"/>
      <c r="D85" s="23" t="s">
        <v>46</v>
      </c>
      <c r="E85" s="24"/>
      <c r="F85" s="86"/>
      <c r="G85" s="86"/>
      <c r="H85" s="86"/>
      <c r="I85" s="86"/>
      <c r="J85" s="86"/>
      <c r="K85" s="86"/>
      <c r="L85" s="87"/>
      <c r="P85" s="85" t="s">
        <v>45</v>
      </c>
      <c r="Q85" s="86"/>
      <c r="R85" s="86"/>
      <c r="S85" s="86"/>
      <c r="T85" s="86"/>
      <c r="U85" s="86"/>
      <c r="V85" s="86"/>
      <c r="W85" s="86"/>
      <c r="X85" s="86"/>
      <c r="Y85" s="120"/>
      <c r="Z85" s="85" t="s">
        <v>46</v>
      </c>
      <c r="AA85" s="86"/>
      <c r="AB85" s="86"/>
      <c r="AC85" s="86"/>
      <c r="AD85" s="86"/>
      <c r="AE85" s="86"/>
      <c r="AF85" s="86"/>
      <c r="AG85" s="87"/>
      <c r="AH85" s="85"/>
      <c r="AI85" s="86"/>
      <c r="AJ85" s="86"/>
      <c r="AK85" s="86"/>
      <c r="AL85" s="86"/>
      <c r="AM85" s="86"/>
      <c r="AN85" s="87"/>
      <c r="AO85" s="85"/>
      <c r="AP85" s="86"/>
      <c r="AQ85" s="86"/>
      <c r="AR85" s="86"/>
      <c r="AS85" s="86"/>
      <c r="AT85" s="86"/>
      <c r="AU85" s="87"/>
      <c r="AV85" s="85"/>
      <c r="AW85" s="86"/>
      <c r="AX85" s="86"/>
      <c r="AY85" s="86"/>
      <c r="AZ85" s="86"/>
      <c r="BA85" s="86"/>
      <c r="BB85" s="87"/>
      <c r="BC85" s="85"/>
      <c r="BD85" s="86"/>
      <c r="BE85" s="86"/>
      <c r="BF85" s="86"/>
      <c r="BG85" s="86"/>
      <c r="BH85" s="86"/>
      <c r="BI85" s="86"/>
      <c r="BJ85" s="87"/>
      <c r="BK85" s="85"/>
      <c r="BL85" s="86"/>
      <c r="BM85" s="86"/>
      <c r="BN85" s="86"/>
      <c r="BO85" s="86"/>
      <c r="BP85" s="86"/>
      <c r="BQ85" s="86"/>
      <c r="BR85" s="87"/>
      <c r="BS85" s="85"/>
      <c r="BT85" s="86"/>
      <c r="BU85" s="86"/>
      <c r="BV85" s="86"/>
      <c r="BW85" s="86"/>
      <c r="BX85" s="86"/>
      <c r="BY85" s="86"/>
      <c r="BZ85" s="87"/>
      <c r="CA85" s="85"/>
      <c r="CB85" s="86"/>
      <c r="CC85" s="86"/>
      <c r="CD85" s="86"/>
      <c r="CE85" s="86"/>
      <c r="CF85" s="86"/>
      <c r="CG85" s="86"/>
      <c r="CH85" s="87"/>
    </row>
    <row r="86" spans="1:86" s="83" customFormat="1" x14ac:dyDescent="0.25">
      <c r="A86" s="121"/>
      <c r="B86" s="90" t="s">
        <v>2</v>
      </c>
      <c r="C86" s="97" t="s">
        <v>3</v>
      </c>
      <c r="D86" s="90" t="s">
        <v>2</v>
      </c>
      <c r="E86" s="97" t="s">
        <v>4</v>
      </c>
      <c r="F86" s="97" t="s">
        <v>5</v>
      </c>
      <c r="G86" s="97" t="s">
        <v>6</v>
      </c>
      <c r="H86" s="97" t="s">
        <v>7</v>
      </c>
      <c r="I86" s="97" t="s">
        <v>8</v>
      </c>
      <c r="J86" s="97" t="s">
        <v>9</v>
      </c>
      <c r="K86" s="97" t="s">
        <v>10</v>
      </c>
      <c r="L86" s="98" t="s">
        <v>47</v>
      </c>
      <c r="M86" s="97"/>
      <c r="P86" s="94"/>
      <c r="R86" s="84" t="s">
        <v>3</v>
      </c>
      <c r="S86" s="84"/>
      <c r="X86" s="95"/>
      <c r="Y86" s="122"/>
      <c r="Z86" s="94"/>
      <c r="AB86" s="84" t="s">
        <v>11</v>
      </c>
      <c r="AC86" s="84"/>
      <c r="AG86" s="96"/>
      <c r="AH86" s="123" t="s">
        <v>12</v>
      </c>
      <c r="AI86" s="84"/>
      <c r="AN86" s="96"/>
      <c r="AO86" s="123" t="s">
        <v>13</v>
      </c>
      <c r="AP86" s="84"/>
      <c r="AU86" s="96"/>
      <c r="AV86" s="123" t="s">
        <v>14</v>
      </c>
      <c r="AW86" s="84"/>
      <c r="BB86" s="96"/>
      <c r="BC86" s="94"/>
      <c r="BD86" s="84" t="s">
        <v>15</v>
      </c>
      <c r="BE86" s="84"/>
      <c r="BJ86" s="96"/>
      <c r="BK86" s="123" t="s">
        <v>48</v>
      </c>
      <c r="BL86" s="84"/>
      <c r="BR86" s="96"/>
      <c r="BS86" s="123" t="s">
        <v>16</v>
      </c>
      <c r="BT86" s="84"/>
      <c r="BZ86" s="96"/>
      <c r="CA86" s="123" t="s">
        <v>47</v>
      </c>
      <c r="CB86" s="84"/>
      <c r="CH86" s="96"/>
    </row>
    <row r="87" spans="1:86" s="83" customFormat="1" ht="18" x14ac:dyDescent="0.35">
      <c r="A87" s="121" t="s">
        <v>111</v>
      </c>
      <c r="B87" s="91">
        <f t="shared" ref="B87:B97" si="93">Q90</f>
        <v>72.853110923135944</v>
      </c>
      <c r="C87" s="92">
        <f t="shared" ref="C87:C97" si="94">AA90</f>
        <v>70.324738779838739</v>
      </c>
      <c r="D87" s="91">
        <v>70.642508240826061</v>
      </c>
      <c r="E87" s="92">
        <f t="shared" ref="E87:E97" si="95">AG90</f>
        <v>70.056216747245628</v>
      </c>
      <c r="F87" s="92">
        <f t="shared" ref="F87:F97" si="96">AN90</f>
        <v>70.031606324894341</v>
      </c>
      <c r="G87" s="92">
        <f t="shared" ref="G87:G97" si="97">AU90</f>
        <v>70.076503209317494</v>
      </c>
      <c r="H87" s="92">
        <f t="shared" ref="H87:H97" si="98">BB90</f>
        <v>69.922213609506358</v>
      </c>
      <c r="I87" s="92">
        <f t="shared" ref="I87:I97" si="99">BJ90</f>
        <v>70.237945258391093</v>
      </c>
      <c r="J87" s="92">
        <f t="shared" ref="J87:J97" si="100">BR90</f>
        <v>73.459799749688486</v>
      </c>
      <c r="K87" s="92">
        <f t="shared" ref="K87:K96" si="101">BZ90</f>
        <v>76.467521671644008</v>
      </c>
      <c r="L87" s="93">
        <f t="shared" ref="L87:L96" si="102">CH90</f>
        <v>79.672412745519367</v>
      </c>
      <c r="M87" s="92"/>
      <c r="P87" s="85"/>
      <c r="Q87" s="86"/>
      <c r="R87" s="25">
        <f>SUM(R88:S88,T88,U88)</f>
        <v>0.52500000000000002</v>
      </c>
      <c r="S87" s="86" t="s">
        <v>17</v>
      </c>
      <c r="T87" s="26"/>
      <c r="U87" s="26"/>
      <c r="V87" s="86"/>
      <c r="W87" s="87" t="s">
        <v>49</v>
      </c>
      <c r="X87" s="107" t="s">
        <v>21</v>
      </c>
      <c r="Y87" s="125"/>
      <c r="Z87" s="85"/>
      <c r="AA87" s="86" t="s">
        <v>18</v>
      </c>
      <c r="AB87" s="27">
        <f>SUM(AB88:AC88,AD88)</f>
        <v>0.1125</v>
      </c>
      <c r="AC87" s="86" t="s">
        <v>17</v>
      </c>
      <c r="AD87" s="26"/>
      <c r="AE87" s="86"/>
      <c r="AF87" s="86"/>
      <c r="AG87" s="87"/>
      <c r="AH87" s="25">
        <f>SUM(AH88:AI88,AJ88)</f>
        <v>9.5000000000000001E-2</v>
      </c>
      <c r="AI87" s="86" t="s">
        <v>17</v>
      </c>
      <c r="AJ87" s="26"/>
      <c r="AK87" s="26"/>
      <c r="AL87" s="86"/>
      <c r="AM87" s="86"/>
      <c r="AN87" s="87"/>
      <c r="AO87" s="25">
        <f>SUM(AO88:AP88,AQ88)</f>
        <v>0.115</v>
      </c>
      <c r="AP87" s="86" t="s">
        <v>17</v>
      </c>
      <c r="AQ87" s="26"/>
      <c r="AR87" s="26"/>
      <c r="AS87" s="86"/>
      <c r="AT87" s="86"/>
      <c r="AU87" s="87"/>
      <c r="AV87" s="25">
        <f>SUM(AV88:AW88,AX88)</f>
        <v>0.1</v>
      </c>
      <c r="AW87" s="86" t="s">
        <v>17</v>
      </c>
      <c r="AX87" s="26"/>
      <c r="AY87" s="26"/>
      <c r="AZ87" s="86"/>
      <c r="BA87" s="86"/>
      <c r="BB87" s="87"/>
      <c r="BC87" s="85"/>
      <c r="BD87" s="27">
        <f>SUM(BD88:BE88,BG88)</f>
        <v>0.1</v>
      </c>
      <c r="BE87" s="86" t="s">
        <v>17</v>
      </c>
      <c r="BF87" s="26"/>
      <c r="BG87" s="26"/>
      <c r="BH87" s="86"/>
      <c r="BI87" s="86"/>
      <c r="BJ87" s="87"/>
      <c r="BK87" s="25">
        <f>SUM(BK88:BL88,BN88)</f>
        <v>0.105</v>
      </c>
      <c r="BL87" s="86" t="s">
        <v>17</v>
      </c>
      <c r="BM87" s="26"/>
      <c r="BN87" s="26"/>
      <c r="BO87" s="26"/>
      <c r="BP87" s="86"/>
      <c r="BQ87" s="86"/>
      <c r="BR87" s="87"/>
      <c r="BS87" s="25">
        <f>SUM(BS88:BT88,BV88)</f>
        <v>9.7500000000000003E-2</v>
      </c>
      <c r="BT87" s="86" t="s">
        <v>17</v>
      </c>
      <c r="BU87" s="26"/>
      <c r="BV87" s="26"/>
      <c r="BW87" s="26"/>
      <c r="BX87" s="86"/>
      <c r="BY87" s="86"/>
      <c r="BZ87" s="87"/>
      <c r="CA87" s="25">
        <f>SUM(CA88:CB88,CD88)</f>
        <v>0.1</v>
      </c>
      <c r="CB87" s="86" t="s">
        <v>17</v>
      </c>
      <c r="CC87" s="26"/>
      <c r="CD87" s="26"/>
      <c r="CE87" s="26"/>
      <c r="CF87" s="86"/>
      <c r="CG87" s="86"/>
      <c r="CH87" s="87"/>
    </row>
    <row r="88" spans="1:86" s="83" customFormat="1" ht="18" x14ac:dyDescent="0.35">
      <c r="A88" s="121" t="s">
        <v>112</v>
      </c>
      <c r="B88" s="90">
        <f t="shared" si="93"/>
        <v>0.36041566006498538</v>
      </c>
      <c r="C88" s="97">
        <f t="shared" si="94"/>
        <v>0.75876981066312688</v>
      </c>
      <c r="D88" s="90">
        <v>0.75876981066312688</v>
      </c>
      <c r="E88" s="97">
        <f t="shared" si="95"/>
        <v>0.8549518993387345</v>
      </c>
      <c r="F88" s="97">
        <f t="shared" si="96"/>
        <v>0.96604734388557545</v>
      </c>
      <c r="G88" s="97">
        <f t="shared" si="97"/>
        <v>1.1168177385960412</v>
      </c>
      <c r="H88" s="97">
        <f t="shared" si="98"/>
        <v>1.2837838456951174</v>
      </c>
      <c r="I88" s="97">
        <f t="shared" si="99"/>
        <v>1.4424537592079965</v>
      </c>
      <c r="J88" s="97">
        <f t="shared" si="100"/>
        <v>1.7231997928793512</v>
      </c>
      <c r="K88" s="92">
        <f t="shared" si="101"/>
        <v>2.1132244373582174</v>
      </c>
      <c r="L88" s="93">
        <f t="shared" si="102"/>
        <v>2.6885525564295647</v>
      </c>
      <c r="M88" s="97"/>
      <c r="P88" s="94"/>
      <c r="Q88" s="83" t="s">
        <v>18</v>
      </c>
      <c r="R88" s="126">
        <v>0.155</v>
      </c>
      <c r="S88" s="152">
        <v>0.16</v>
      </c>
      <c r="T88" s="152">
        <v>0.155</v>
      </c>
      <c r="U88" s="152">
        <v>5.5E-2</v>
      </c>
      <c r="V88" s="105" t="s">
        <v>19</v>
      </c>
      <c r="W88" s="98" t="s">
        <v>23</v>
      </c>
      <c r="X88" s="105" t="s">
        <v>23</v>
      </c>
      <c r="Y88" s="125"/>
      <c r="Z88" s="94"/>
      <c r="AA88" s="83" t="s">
        <v>23</v>
      </c>
      <c r="AB88" s="127">
        <v>4.4999999999999998E-2</v>
      </c>
      <c r="AC88" s="127">
        <v>4.7500000000000001E-2</v>
      </c>
      <c r="AD88" s="127">
        <v>0.02</v>
      </c>
      <c r="AE88" s="97" t="s">
        <v>19</v>
      </c>
      <c r="AF88" s="97" t="s">
        <v>20</v>
      </c>
      <c r="AG88" s="98" t="s">
        <v>21</v>
      </c>
      <c r="AH88" s="126">
        <v>3.7499999999999999E-2</v>
      </c>
      <c r="AI88" s="127">
        <v>3.7499999999999999E-2</v>
      </c>
      <c r="AJ88" s="127">
        <v>0.02</v>
      </c>
      <c r="AK88" s="127">
        <v>0.02</v>
      </c>
      <c r="AL88" s="97" t="s">
        <v>19</v>
      </c>
      <c r="AM88" s="97" t="s">
        <v>20</v>
      </c>
      <c r="AN88" s="98" t="s">
        <v>21</v>
      </c>
      <c r="AO88" s="126">
        <v>4.4999999999999998E-2</v>
      </c>
      <c r="AP88" s="127">
        <v>0.05</v>
      </c>
      <c r="AQ88" s="127">
        <v>0.02</v>
      </c>
      <c r="AR88" s="127">
        <v>0.02</v>
      </c>
      <c r="AS88" s="97" t="s">
        <v>19</v>
      </c>
      <c r="AT88" s="97" t="s">
        <v>20</v>
      </c>
      <c r="AU88" s="98" t="s">
        <v>21</v>
      </c>
      <c r="AV88" s="126">
        <v>0.04</v>
      </c>
      <c r="AW88" s="127">
        <v>0.04</v>
      </c>
      <c r="AX88" s="127">
        <v>0.02</v>
      </c>
      <c r="AY88" s="127">
        <v>1.2500000000000001E-2</v>
      </c>
      <c r="AZ88" s="97" t="s">
        <v>19</v>
      </c>
      <c r="BA88" s="97" t="s">
        <v>20</v>
      </c>
      <c r="BB88" s="98" t="s">
        <v>21</v>
      </c>
      <c r="BC88" s="94"/>
      <c r="BD88" s="127">
        <v>0.04</v>
      </c>
      <c r="BE88" s="127">
        <v>0.04</v>
      </c>
      <c r="BF88" s="127">
        <v>0.01</v>
      </c>
      <c r="BG88" s="127">
        <v>0.02</v>
      </c>
      <c r="BH88" s="97" t="s">
        <v>19</v>
      </c>
      <c r="BI88" s="97" t="s">
        <v>20</v>
      </c>
      <c r="BJ88" s="98" t="s">
        <v>21</v>
      </c>
      <c r="BK88" s="126">
        <v>0.05</v>
      </c>
      <c r="BL88" s="127">
        <v>0.04</v>
      </c>
      <c r="BM88" s="127">
        <v>0.01</v>
      </c>
      <c r="BN88" s="127">
        <v>1.4999999999999999E-2</v>
      </c>
      <c r="BO88" s="127">
        <v>0.03</v>
      </c>
      <c r="BP88" s="97" t="s">
        <v>19</v>
      </c>
      <c r="BQ88" s="97" t="s">
        <v>20</v>
      </c>
      <c r="BR88" s="98" t="s">
        <v>21</v>
      </c>
      <c r="BS88" s="126">
        <v>0.04</v>
      </c>
      <c r="BT88" s="127">
        <v>0.04</v>
      </c>
      <c r="BU88" s="127">
        <v>0.02</v>
      </c>
      <c r="BV88" s="127">
        <v>1.7500000000000002E-2</v>
      </c>
      <c r="BW88" s="127">
        <v>0.02</v>
      </c>
      <c r="BX88" s="97" t="s">
        <v>19</v>
      </c>
      <c r="BY88" s="97" t="s">
        <v>20</v>
      </c>
      <c r="BZ88" s="98" t="s">
        <v>21</v>
      </c>
      <c r="CA88" s="126">
        <v>0.04</v>
      </c>
      <c r="CB88" s="127">
        <v>0.04</v>
      </c>
      <c r="CC88" s="127">
        <v>0.02</v>
      </c>
      <c r="CD88" s="127">
        <v>0.02</v>
      </c>
      <c r="CE88" s="127">
        <v>0.01</v>
      </c>
      <c r="CF88" s="97" t="s">
        <v>19</v>
      </c>
      <c r="CG88" s="97" t="s">
        <v>20</v>
      </c>
      <c r="CH88" s="98" t="s">
        <v>21</v>
      </c>
    </row>
    <row r="89" spans="1:86" s="83" customFormat="1" ht="18" x14ac:dyDescent="0.35">
      <c r="A89" s="121" t="s">
        <v>113</v>
      </c>
      <c r="B89" s="90">
        <f t="shared" si="93"/>
        <v>11.375056405926856</v>
      </c>
      <c r="C89" s="97">
        <f t="shared" si="94"/>
        <v>11.040506093906775</v>
      </c>
      <c r="D89" s="90">
        <v>11.040506093906775</v>
      </c>
      <c r="E89" s="97">
        <f t="shared" si="95"/>
        <v>10.410170524558662</v>
      </c>
      <c r="F89" s="97">
        <f t="shared" si="96"/>
        <v>10.115018951305389</v>
      </c>
      <c r="G89" s="97">
        <f t="shared" si="97"/>
        <v>9.5515768182283658</v>
      </c>
      <c r="H89" s="97">
        <f t="shared" si="98"/>
        <v>8.912305574667446</v>
      </c>
      <c r="I89" s="97">
        <f t="shared" si="99"/>
        <v>8.2659568222889419</v>
      </c>
      <c r="J89" s="97">
        <f t="shared" si="100"/>
        <v>7.5408021060494965</v>
      </c>
      <c r="K89" s="92">
        <f t="shared" si="101"/>
        <v>6.6869029895910996</v>
      </c>
      <c r="L89" s="93">
        <f t="shared" si="102"/>
        <v>5.2496116509870339</v>
      </c>
      <c r="M89" s="97"/>
      <c r="P89" s="108" t="s">
        <v>22</v>
      </c>
      <c r="Q89" s="100" t="s">
        <v>23</v>
      </c>
      <c r="R89" s="108" t="s">
        <v>24</v>
      </c>
      <c r="S89" s="110" t="s">
        <v>25</v>
      </c>
      <c r="T89" s="110" t="s">
        <v>50</v>
      </c>
      <c r="U89" s="110" t="s">
        <v>51</v>
      </c>
      <c r="V89" s="110" t="s">
        <v>26</v>
      </c>
      <c r="W89" s="111" t="s">
        <v>27</v>
      </c>
      <c r="X89" s="110" t="s">
        <v>52</v>
      </c>
      <c r="Y89" s="125"/>
      <c r="Z89" s="108" t="s">
        <v>28</v>
      </c>
      <c r="AA89" s="110" t="s">
        <v>53</v>
      </c>
      <c r="AB89" s="110" t="s">
        <v>24</v>
      </c>
      <c r="AC89" s="110" t="s">
        <v>25</v>
      </c>
      <c r="AD89" s="110" t="s">
        <v>50</v>
      </c>
      <c r="AE89" s="110" t="s">
        <v>26</v>
      </c>
      <c r="AF89" s="110" t="s">
        <v>27</v>
      </c>
      <c r="AG89" s="111" t="s">
        <v>23</v>
      </c>
      <c r="AH89" s="108" t="s">
        <v>24</v>
      </c>
      <c r="AI89" s="110" t="s">
        <v>25</v>
      </c>
      <c r="AJ89" s="110" t="s">
        <v>50</v>
      </c>
      <c r="AK89" s="110" t="s">
        <v>51</v>
      </c>
      <c r="AL89" s="110" t="s">
        <v>26</v>
      </c>
      <c r="AM89" s="110" t="s">
        <v>27</v>
      </c>
      <c r="AN89" s="111" t="s">
        <v>23</v>
      </c>
      <c r="AO89" s="108" t="s">
        <v>24</v>
      </c>
      <c r="AP89" s="110" t="s">
        <v>25</v>
      </c>
      <c r="AQ89" s="110" t="s">
        <v>50</v>
      </c>
      <c r="AR89" s="110" t="s">
        <v>51</v>
      </c>
      <c r="AS89" s="110" t="s">
        <v>26</v>
      </c>
      <c r="AT89" s="110" t="s">
        <v>27</v>
      </c>
      <c r="AU89" s="111" t="s">
        <v>23</v>
      </c>
      <c r="AV89" s="108" t="s">
        <v>24</v>
      </c>
      <c r="AW89" s="110" t="s">
        <v>25</v>
      </c>
      <c r="AX89" s="110" t="s">
        <v>50</v>
      </c>
      <c r="AY89" s="110" t="s">
        <v>51</v>
      </c>
      <c r="AZ89" s="110" t="s">
        <v>26</v>
      </c>
      <c r="BA89" s="110" t="s">
        <v>27</v>
      </c>
      <c r="BB89" s="111" t="s">
        <v>23</v>
      </c>
      <c r="BC89" s="28" t="s">
        <v>28</v>
      </c>
      <c r="BD89" s="110" t="s">
        <v>24</v>
      </c>
      <c r="BE89" s="110" t="s">
        <v>25</v>
      </c>
      <c r="BF89" s="110" t="s">
        <v>50</v>
      </c>
      <c r="BG89" s="110" t="s">
        <v>51</v>
      </c>
      <c r="BH89" s="110" t="s">
        <v>26</v>
      </c>
      <c r="BI89" s="110" t="s">
        <v>27</v>
      </c>
      <c r="BJ89" s="111" t="s">
        <v>23</v>
      </c>
      <c r="BK89" s="108" t="s">
        <v>24</v>
      </c>
      <c r="BL89" s="110" t="s">
        <v>25</v>
      </c>
      <c r="BM89" s="110" t="s">
        <v>50</v>
      </c>
      <c r="BN89" s="110" t="s">
        <v>51</v>
      </c>
      <c r="BO89" s="110" t="s">
        <v>54</v>
      </c>
      <c r="BP89" s="110" t="s">
        <v>26</v>
      </c>
      <c r="BQ89" s="110" t="s">
        <v>27</v>
      </c>
      <c r="BR89" s="111" t="s">
        <v>23</v>
      </c>
      <c r="BS89" s="108" t="s">
        <v>24</v>
      </c>
      <c r="BT89" s="110" t="s">
        <v>25</v>
      </c>
      <c r="BU89" s="110" t="s">
        <v>50</v>
      </c>
      <c r="BV89" s="110" t="s">
        <v>51</v>
      </c>
      <c r="BW89" s="110" t="s">
        <v>54</v>
      </c>
      <c r="BX89" s="110" t="s">
        <v>26</v>
      </c>
      <c r="BY89" s="110" t="s">
        <v>27</v>
      </c>
      <c r="BZ89" s="111" t="s">
        <v>23</v>
      </c>
      <c r="CA89" s="108" t="s">
        <v>24</v>
      </c>
      <c r="CB89" s="110" t="s">
        <v>25</v>
      </c>
      <c r="CC89" s="110" t="s">
        <v>50</v>
      </c>
      <c r="CD89" s="110" t="s">
        <v>51</v>
      </c>
      <c r="CE89" s="110" t="s">
        <v>54</v>
      </c>
      <c r="CF89" s="110" t="s">
        <v>26</v>
      </c>
      <c r="CG89" s="110" t="s">
        <v>27</v>
      </c>
      <c r="CH89" s="111" t="s">
        <v>23</v>
      </c>
    </row>
    <row r="90" spans="1:86" s="83" customFormat="1" ht="18" x14ac:dyDescent="0.35">
      <c r="A90" s="121" t="s">
        <v>114</v>
      </c>
      <c r="B90" s="90">
        <f t="shared" si="93"/>
        <v>5.1647880572785434</v>
      </c>
      <c r="C90" s="97">
        <f t="shared" si="94"/>
        <v>7.6218700779611739</v>
      </c>
      <c r="D90" s="90">
        <v>6.87155380479693</v>
      </c>
      <c r="E90" s="97">
        <f t="shared" si="95"/>
        <v>8.5880226230548438</v>
      </c>
      <c r="F90" s="97">
        <f t="shared" si="96"/>
        <v>9.0694041882501608</v>
      </c>
      <c r="G90" s="97">
        <f t="shared" si="97"/>
        <v>9.8356118749094943</v>
      </c>
      <c r="H90" s="97">
        <f t="shared" si="98"/>
        <v>10.839607075100744</v>
      </c>
      <c r="I90" s="97">
        <f t="shared" si="99"/>
        <v>11.548322650165495</v>
      </c>
      <c r="J90" s="97">
        <f t="shared" si="100"/>
        <v>9.2037680822915497</v>
      </c>
      <c r="K90" s="92">
        <f t="shared" si="101"/>
        <v>7.1858556286591604</v>
      </c>
      <c r="L90" s="93">
        <f t="shared" si="102"/>
        <v>5.8718479119518152</v>
      </c>
      <c r="M90" s="97"/>
      <c r="P90" s="106" t="s">
        <v>55</v>
      </c>
      <c r="Q90" s="26">
        <v>72.853110923135944</v>
      </c>
      <c r="R90" s="90">
        <v>64.760000000000005</v>
      </c>
      <c r="S90" s="95">
        <v>68.118871929647213</v>
      </c>
      <c r="T90" s="105">
        <v>100</v>
      </c>
      <c r="U90" s="105">
        <v>54.764372617617873</v>
      </c>
      <c r="V90" s="105">
        <f>(S90*$S$88)+(R90*$R$88)+(T90*$T$88)+(U90*$U$88)</f>
        <v>39.448860002712536</v>
      </c>
      <c r="W90" s="81">
        <f t="shared" ref="W90:W99" si="103">Q90-V90</f>
        <v>33.404250920423408</v>
      </c>
      <c r="X90" s="81">
        <f>W90/$W$100*100</f>
        <v>70.324738779838739</v>
      </c>
      <c r="Y90" s="30"/>
      <c r="Z90" s="90" t="s">
        <v>55</v>
      </c>
      <c r="AA90" s="31">
        <f t="shared" ref="AA90:AA99" si="104">X90</f>
        <v>70.324738779838739</v>
      </c>
      <c r="AB90" s="97">
        <v>64.760000000000005</v>
      </c>
      <c r="AC90" s="83">
        <v>68.118871929647213</v>
      </c>
      <c r="AD90" s="97">
        <v>100</v>
      </c>
      <c r="AE90" s="97">
        <f>(AC90*$AC$88)+(AB90*$AB$88)+(AD90*$AD$88)</f>
        <v>8.1498464166582423</v>
      </c>
      <c r="AF90" s="31">
        <f t="shared" ref="AF90:AF99" si="105">AA90-AE90</f>
        <v>62.174892363180497</v>
      </c>
      <c r="AG90" s="32">
        <f>AF90/$AF$100*100</f>
        <v>70.056216747245628</v>
      </c>
      <c r="AH90" s="90">
        <v>64.760000000000005</v>
      </c>
      <c r="AI90" s="83">
        <v>68.118871929647213</v>
      </c>
      <c r="AJ90" s="97">
        <v>100</v>
      </c>
      <c r="AK90" s="107">
        <v>54.764372617617873</v>
      </c>
      <c r="AL90" s="97">
        <f>(AI90*$AI$88)+(AH90*$AH$88)+(AJ90*$AJ$88)+(AK90*$AK$88)</f>
        <v>8.0782451497141281</v>
      </c>
      <c r="AM90" s="31">
        <f t="shared" ref="AM90:AM99" si="106">AG90-AL90</f>
        <v>61.9779715975315</v>
      </c>
      <c r="AN90" s="32">
        <f>AM90/$AM$100*100</f>
        <v>70.031606324894341</v>
      </c>
      <c r="AO90" s="90">
        <v>64.760000000000005</v>
      </c>
      <c r="AP90" s="97">
        <v>68.118871929647213</v>
      </c>
      <c r="AQ90" s="97">
        <v>100</v>
      </c>
      <c r="AR90" s="107">
        <v>54.764372617617873</v>
      </c>
      <c r="AS90" s="97">
        <f>(AP90*$AP$88)+(AO90*$AO$88)+(AQ90*$AQ$88)+(AR90*$AR$88)</f>
        <v>9.4154310488347175</v>
      </c>
      <c r="AT90" s="31">
        <f t="shared" ref="AT90:AT99" si="107">AN90-AS90</f>
        <v>60.616175276059622</v>
      </c>
      <c r="AU90" s="32">
        <f>AT90/$AT$100*100</f>
        <v>70.076503209317494</v>
      </c>
      <c r="AV90" s="90">
        <v>64.760000000000005</v>
      </c>
      <c r="AW90" s="97">
        <v>68.118871929647213</v>
      </c>
      <c r="AX90" s="97">
        <v>100</v>
      </c>
      <c r="AY90" s="107">
        <v>54.764372617617873</v>
      </c>
      <c r="AZ90" s="97">
        <f>(AW90*$AW$88)+(AV90*$AV$88)+(AY90*$AY$88)+(AX90*$AX$88)</f>
        <v>7.9997095349061125</v>
      </c>
      <c r="BA90" s="31">
        <f t="shared" ref="BA90:BA99" si="108">AT90-AZ90</f>
        <v>52.616465741153512</v>
      </c>
      <c r="BB90" s="32">
        <f>BA90/$BA$100*100</f>
        <v>69.922213609506358</v>
      </c>
      <c r="BC90" s="33" t="s">
        <v>56</v>
      </c>
      <c r="BD90" s="97">
        <v>64.760000000000005</v>
      </c>
      <c r="BE90" s="97">
        <v>68.118871929647213</v>
      </c>
      <c r="BF90" s="97">
        <v>100</v>
      </c>
      <c r="BG90" s="107">
        <v>54.764372617617873</v>
      </c>
      <c r="BH90" s="97">
        <f>(BE90*$BE$88)+(BD90*$BD$88)+(BG90*$BG$88)+(BF90*$BF$88)</f>
        <v>7.4104423295382462</v>
      </c>
      <c r="BI90" s="31">
        <f t="shared" ref="BI90:BI99" si="109">BB90-BH90</f>
        <v>62.511771279968109</v>
      </c>
      <c r="BJ90" s="32">
        <f>BI90/$BI$100*100</f>
        <v>70.237945258391093</v>
      </c>
      <c r="BK90" s="90">
        <v>64.760000000000005</v>
      </c>
      <c r="BL90" s="97">
        <v>68.118871929647213</v>
      </c>
      <c r="BM90" s="97">
        <v>100</v>
      </c>
      <c r="BN90" s="107">
        <v>54.764372617617873</v>
      </c>
      <c r="BO90" s="97"/>
      <c r="BP90" s="97">
        <f>(BL90*$BL$88)+(BK90*$BK$88)+(BN90*$BN$88)+(BM90*$BM$88)+(BO90*$BO$88)</f>
        <v>7.7842204664501571</v>
      </c>
      <c r="BQ90" s="31">
        <f t="shared" ref="BQ90:BQ99" si="110">BI90-BP90</f>
        <v>54.727550813517951</v>
      </c>
      <c r="BR90" s="32">
        <f>BQ90/$BQ$100*100</f>
        <v>73.459799749688486</v>
      </c>
      <c r="BS90" s="90">
        <v>64.760000000000005</v>
      </c>
      <c r="BT90" s="97">
        <v>68.118871929647213</v>
      </c>
      <c r="BU90" s="97">
        <v>100</v>
      </c>
      <c r="BV90" s="107">
        <v>54.764372617617873</v>
      </c>
      <c r="BW90" s="97"/>
      <c r="BX90" s="97">
        <f>(BT90*$BT$88)+(BS90*$BS$88)+(BV90*$BV$88)+(BU90*$BU$88)+(BW90*$BW$88)</f>
        <v>8.2735313979942013</v>
      </c>
      <c r="BY90" s="31">
        <f t="shared" ref="BY90:BY99" si="111">BQ90-BX90</f>
        <v>46.454019415523746</v>
      </c>
      <c r="BZ90" s="32">
        <f>BY90/$BY$100*100</f>
        <v>76.467521671644008</v>
      </c>
      <c r="CA90" s="90">
        <v>64.760000000000005</v>
      </c>
      <c r="CB90" s="97">
        <v>68.118871929647213</v>
      </c>
      <c r="CC90" s="97">
        <v>100</v>
      </c>
      <c r="CD90" s="107">
        <v>54.764372617617873</v>
      </c>
      <c r="CE90" s="97"/>
      <c r="CF90" s="97">
        <f>(CB90*$CB$88)+(CA90*$CA$88)+(CD90*$CD$88)+(CC90*$CC$88)+(CE90*$CE$88)</f>
        <v>8.4104423295382453</v>
      </c>
      <c r="CG90" s="31">
        <f t="shared" ref="CG90:CG99" si="112">BY90-CF90</f>
        <v>38.043577085985504</v>
      </c>
      <c r="CH90" s="32">
        <f>CG90/$CG$100*100</f>
        <v>79.672412745519367</v>
      </c>
    </row>
    <row r="91" spans="1:86" s="83" customFormat="1" ht="18" x14ac:dyDescent="0.35">
      <c r="A91" s="121" t="s">
        <v>30</v>
      </c>
      <c r="B91" s="90">
        <f t="shared" si="93"/>
        <v>0.11276523431310569</v>
      </c>
      <c r="C91" s="97">
        <f t="shared" si="94"/>
        <v>0.23740049329074872</v>
      </c>
      <c r="D91" s="90">
        <v>0.23740049329074872</v>
      </c>
      <c r="E91" s="97">
        <f t="shared" si="95"/>
        <v>0.26749351356704082</v>
      </c>
      <c r="F91" s="97">
        <f t="shared" si="96"/>
        <v>0.30225255770287096</v>
      </c>
      <c r="G91" s="97">
        <f t="shared" si="97"/>
        <v>0.34942492219985088</v>
      </c>
      <c r="H91" s="97">
        <f t="shared" si="98"/>
        <v>0.4016645285087988</v>
      </c>
      <c r="I91" s="97">
        <f t="shared" si="99"/>
        <v>0.45130845899865013</v>
      </c>
      <c r="J91" s="97">
        <f t="shared" si="100"/>
        <v>0.53914701813261556</v>
      </c>
      <c r="K91" s="92">
        <f t="shared" si="101"/>
        <v>0.66117617861530653</v>
      </c>
      <c r="L91" s="93">
        <f t="shared" si="102"/>
        <v>0.84118225865717</v>
      </c>
      <c r="M91" s="97"/>
      <c r="P91" s="90" t="s">
        <v>57</v>
      </c>
      <c r="Q91" s="31">
        <v>0.36041566006498538</v>
      </c>
      <c r="R91" s="90"/>
      <c r="T91" s="97"/>
      <c r="U91" s="97"/>
      <c r="V91" s="105">
        <f t="shared" ref="V91:V99" si="113">(S91*$S$88)+(R91*$R$88)+(T91*$T$88)+(U91*$U$88)</f>
        <v>0</v>
      </c>
      <c r="W91" s="81">
        <f t="shared" si="103"/>
        <v>0.36041566006498538</v>
      </c>
      <c r="X91" s="81">
        <f t="shared" ref="X91:X99" si="114">W91/$W$100*100</f>
        <v>0.75876981066312688</v>
      </c>
      <c r="Y91" s="30"/>
      <c r="Z91" s="90" t="s">
        <v>57</v>
      </c>
      <c r="AA91" s="31">
        <f t="shared" si="104"/>
        <v>0.75876981066312688</v>
      </c>
      <c r="AB91" s="97"/>
      <c r="AD91" s="97"/>
      <c r="AE91" s="97">
        <f t="shared" ref="AE91:AE99" si="115">(AC91*$AC$88)+(AB91*$AB$88)+(AD91*$AD$88)</f>
        <v>0</v>
      </c>
      <c r="AF91" s="31">
        <f t="shared" si="105"/>
        <v>0.75876981066312688</v>
      </c>
      <c r="AG91" s="32">
        <f t="shared" ref="AG91:AG99" si="116">AF91/$AF$100*100</f>
        <v>0.8549518993387345</v>
      </c>
      <c r="AH91" s="90"/>
      <c r="AJ91" s="97"/>
      <c r="AK91" s="97"/>
      <c r="AL91" s="97">
        <f t="shared" ref="AL91:AL99" si="117">(AI91*$AI$88)+(AH91*$AH$88)+(AJ91*$AJ$88)+(AK91*$AK$88)</f>
        <v>0</v>
      </c>
      <c r="AM91" s="31">
        <f t="shared" si="106"/>
        <v>0.8549518993387345</v>
      </c>
      <c r="AN91" s="32">
        <f t="shared" ref="AN91:AN99" si="118">AM91/$AM$100*100</f>
        <v>0.96604734388557545</v>
      </c>
      <c r="AO91" s="90"/>
      <c r="AP91" s="97"/>
      <c r="AQ91" s="97"/>
      <c r="AR91" s="97"/>
      <c r="AS91" s="97">
        <f t="shared" ref="AS91:AS99" si="119">(AP91*$AP$88)+(AO91*$AO$88)+(AQ91*$AQ$88)+(AR91*$AR$88)</f>
        <v>0</v>
      </c>
      <c r="AT91" s="31">
        <f t="shared" si="107"/>
        <v>0.96604734388557545</v>
      </c>
      <c r="AU91" s="32">
        <f t="shared" ref="AU91:AU99" si="120">AT91/$AT$100*100</f>
        <v>1.1168177385960412</v>
      </c>
      <c r="AV91" s="90"/>
      <c r="AW91" s="97"/>
      <c r="AX91" s="97"/>
      <c r="AY91" s="97"/>
      <c r="AZ91" s="97">
        <f t="shared" ref="AZ91:AZ99" si="121">(AW91*$AW$88)+(AV91*$AV$88)+(AY91*$AY$88)+(AX91*$AX$88)</f>
        <v>0</v>
      </c>
      <c r="BA91" s="31">
        <f t="shared" si="108"/>
        <v>0.96604734388557545</v>
      </c>
      <c r="BB91" s="32">
        <f t="shared" ref="BB91:BB99" si="122">BA91/$BA$100*100</f>
        <v>1.2837838456951174</v>
      </c>
      <c r="BC91" s="33" t="s">
        <v>58</v>
      </c>
      <c r="BD91" s="97"/>
      <c r="BE91" s="97"/>
      <c r="BF91" s="97"/>
      <c r="BG91" s="97"/>
      <c r="BH91" s="97">
        <f t="shared" ref="BH91:BH99" si="123">(BE91*$BE$88)+(BD91*$BD$88)+(BG91*$BG$88)+(BF91*$BF$88)</f>
        <v>0</v>
      </c>
      <c r="BI91" s="31">
        <f t="shared" si="109"/>
        <v>1.2837838456951174</v>
      </c>
      <c r="BJ91" s="32">
        <f t="shared" ref="BJ91:BJ99" si="124">BI91/$BI$100*100</f>
        <v>1.4424537592079965</v>
      </c>
      <c r="BK91" s="90"/>
      <c r="BL91" s="97"/>
      <c r="BM91" s="97"/>
      <c r="BN91" s="97"/>
      <c r="BO91" s="97"/>
      <c r="BP91" s="97">
        <f t="shared" ref="BP91:BP99" si="125">(BL91*$BL$88)+(BK91*$BK$88)+(BN91*$BN$88)+(BM91*$BM$88)+(BO91*$BO$88)</f>
        <v>0</v>
      </c>
      <c r="BQ91" s="31">
        <f t="shared" si="110"/>
        <v>1.2837838456951174</v>
      </c>
      <c r="BR91" s="32">
        <f t="shared" ref="BR91:BR99" si="126">BQ91/$BQ$100*100</f>
        <v>1.7231997928793512</v>
      </c>
      <c r="BS91" s="90"/>
      <c r="BT91" s="97"/>
      <c r="BU91" s="97"/>
      <c r="BV91" s="97"/>
      <c r="BW91" s="97"/>
      <c r="BX91" s="97">
        <f t="shared" ref="BX91:BX99" si="127">(BT91*$BT$88)+(BS91*$BS$88)+(BV91*$BV$88)+(BU91*$BU$88)+(BW91*$BW$88)</f>
        <v>0</v>
      </c>
      <c r="BY91" s="31">
        <f t="shared" si="111"/>
        <v>1.2837838456951174</v>
      </c>
      <c r="BZ91" s="32">
        <f t="shared" ref="BZ91:BZ99" si="128">BY91/$BY$100*100</f>
        <v>2.1132244373582174</v>
      </c>
      <c r="CA91" s="90"/>
      <c r="CB91" s="97"/>
      <c r="CC91" s="97"/>
      <c r="CD91" s="97"/>
      <c r="CE91" s="97"/>
      <c r="CF91" s="97">
        <f t="shared" ref="CF91:CF99" si="129">(CB91*$CB$88)+(CA91*$CA$88)+(CD91*$CD$88)+(CC91*$CC$88)+(CE91*$CE$88)</f>
        <v>0</v>
      </c>
      <c r="CG91" s="31">
        <f t="shared" si="112"/>
        <v>1.2837838456951174</v>
      </c>
      <c r="CH91" s="32">
        <f t="shared" ref="CH91:CH99" si="130">CG91/$CG$100*100</f>
        <v>2.6885525564295647</v>
      </c>
    </row>
    <row r="92" spans="1:86" s="83" customFormat="1" ht="18" x14ac:dyDescent="0.35">
      <c r="A92" s="121" t="s">
        <v>32</v>
      </c>
      <c r="B92" s="90">
        <f t="shared" si="93"/>
        <v>0.12766028321017062</v>
      </c>
      <c r="C92" s="97">
        <f t="shared" si="94"/>
        <v>0.26875849096878013</v>
      </c>
      <c r="D92" s="90">
        <v>0.26875849096878013</v>
      </c>
      <c r="E92" s="97">
        <f t="shared" si="95"/>
        <v>0.30282646869721702</v>
      </c>
      <c r="F92" s="97">
        <f t="shared" si="96"/>
        <v>0.34217680078781576</v>
      </c>
      <c r="G92" s="97">
        <f t="shared" si="97"/>
        <v>0.39558011651770614</v>
      </c>
      <c r="H92" s="97">
        <f t="shared" si="98"/>
        <v>0.45472000104693144</v>
      </c>
      <c r="I92" s="97">
        <f t="shared" si="99"/>
        <v>0.51092134949093393</v>
      </c>
      <c r="J92" s="97">
        <f t="shared" si="100"/>
        <v>0.61036241751265929</v>
      </c>
      <c r="K92" s="92">
        <f t="shared" si="101"/>
        <v>0.74851028978918743</v>
      </c>
      <c r="L92" s="93">
        <f t="shared" si="102"/>
        <v>0.95229319590980377</v>
      </c>
      <c r="M92" s="97"/>
      <c r="P92" s="90" t="s">
        <v>115</v>
      </c>
      <c r="Q92" s="31">
        <v>11.375056405926856</v>
      </c>
      <c r="R92" s="90">
        <v>18.32</v>
      </c>
      <c r="S92" s="83">
        <v>20.5701000707571</v>
      </c>
      <c r="T92" s="97"/>
      <c r="U92" s="97"/>
      <c r="V92" s="105">
        <f t="shared" si="113"/>
        <v>6.1308160113211354</v>
      </c>
      <c r="W92" s="81">
        <f t="shared" si="103"/>
        <v>5.2442403946057201</v>
      </c>
      <c r="X92" s="81">
        <f t="shared" si="114"/>
        <v>11.040506093906775</v>
      </c>
      <c r="Y92" s="30"/>
      <c r="Z92" s="90" t="s">
        <v>115</v>
      </c>
      <c r="AA92" s="31">
        <f t="shared" si="104"/>
        <v>11.040506093906775</v>
      </c>
      <c r="AB92" s="97">
        <v>18.32</v>
      </c>
      <c r="AC92" s="83">
        <v>20.5701000707571</v>
      </c>
      <c r="AD92" s="97"/>
      <c r="AE92" s="97">
        <f t="shared" si="115"/>
        <v>1.8014797533609621</v>
      </c>
      <c r="AF92" s="31">
        <f t="shared" si="105"/>
        <v>9.2390263405458128</v>
      </c>
      <c r="AG92" s="32">
        <f t="shared" si="116"/>
        <v>10.410170524558662</v>
      </c>
      <c r="AH92" s="90">
        <v>18.32</v>
      </c>
      <c r="AI92" s="83">
        <v>20.5701000707571</v>
      </c>
      <c r="AJ92" s="97"/>
      <c r="AK92" s="97"/>
      <c r="AL92" s="97">
        <f t="shared" si="117"/>
        <v>1.4583787526533911</v>
      </c>
      <c r="AM92" s="31">
        <f t="shared" si="106"/>
        <v>8.9517917719052704</v>
      </c>
      <c r="AN92" s="32">
        <f t="shared" si="118"/>
        <v>10.115018951305389</v>
      </c>
      <c r="AO92" s="90">
        <v>18.32</v>
      </c>
      <c r="AP92" s="97">
        <v>20.5701000707571</v>
      </c>
      <c r="AQ92" s="97"/>
      <c r="AR92" s="97"/>
      <c r="AS92" s="97">
        <f t="shared" si="119"/>
        <v>1.8529050035378551</v>
      </c>
      <c r="AT92" s="31">
        <f t="shared" si="107"/>
        <v>8.2621139477675349</v>
      </c>
      <c r="AU92" s="32">
        <f t="shared" si="120"/>
        <v>9.5515768182283658</v>
      </c>
      <c r="AV92" s="90">
        <v>18.32</v>
      </c>
      <c r="AW92" s="97">
        <v>20.5701000707571</v>
      </c>
      <c r="AX92" s="97"/>
      <c r="AY92" s="97"/>
      <c r="AZ92" s="97">
        <f t="shared" si="121"/>
        <v>1.555604002830284</v>
      </c>
      <c r="BA92" s="31">
        <f t="shared" si="108"/>
        <v>6.7065099449372507</v>
      </c>
      <c r="BB92" s="32">
        <f t="shared" si="122"/>
        <v>8.912305574667446</v>
      </c>
      <c r="BC92" s="33" t="s">
        <v>59</v>
      </c>
      <c r="BD92" s="97">
        <v>18.32</v>
      </c>
      <c r="BE92" s="97">
        <v>20.5701000707571</v>
      </c>
      <c r="BF92" s="97"/>
      <c r="BG92" s="97"/>
      <c r="BH92" s="97">
        <f t="shared" si="123"/>
        <v>1.555604002830284</v>
      </c>
      <c r="BI92" s="31">
        <f t="shared" si="109"/>
        <v>7.3567015718371618</v>
      </c>
      <c r="BJ92" s="32">
        <f t="shared" si="124"/>
        <v>8.2659568222889419</v>
      </c>
      <c r="BK92" s="90">
        <v>18.32</v>
      </c>
      <c r="BL92" s="97">
        <v>20.5701000707571</v>
      </c>
      <c r="BM92" s="97"/>
      <c r="BN92" s="97"/>
      <c r="BO92" s="97"/>
      <c r="BP92" s="97">
        <f t="shared" si="125"/>
        <v>1.738804002830284</v>
      </c>
      <c r="BQ92" s="31">
        <f t="shared" si="110"/>
        <v>5.6178975690068782</v>
      </c>
      <c r="BR92" s="32">
        <f t="shared" si="126"/>
        <v>7.5408021060494965</v>
      </c>
      <c r="BS92" s="90">
        <v>18.32</v>
      </c>
      <c r="BT92" s="97">
        <v>20.5701000707571</v>
      </c>
      <c r="BU92" s="97"/>
      <c r="BV92" s="97"/>
      <c r="BW92" s="97"/>
      <c r="BX92" s="97">
        <f t="shared" si="127"/>
        <v>1.555604002830284</v>
      </c>
      <c r="BY92" s="31">
        <f t="shared" si="111"/>
        <v>4.062293566176594</v>
      </c>
      <c r="BZ92" s="32">
        <f t="shared" si="128"/>
        <v>6.6869029895910996</v>
      </c>
      <c r="CA92" s="90">
        <v>18.32</v>
      </c>
      <c r="CB92" s="97">
        <v>20.5701000707571</v>
      </c>
      <c r="CC92" s="97"/>
      <c r="CD92" s="97"/>
      <c r="CE92" s="97"/>
      <c r="CF92" s="97">
        <f t="shared" si="129"/>
        <v>1.555604002830284</v>
      </c>
      <c r="CG92" s="31">
        <f t="shared" si="112"/>
        <v>2.5066895633463098</v>
      </c>
      <c r="CH92" s="32">
        <f t="shared" si="130"/>
        <v>5.2496116509870339</v>
      </c>
    </row>
    <row r="93" spans="1:86" s="83" customFormat="1" x14ac:dyDescent="0.25">
      <c r="A93" s="121" t="s">
        <v>33</v>
      </c>
      <c r="B93" s="90">
        <f t="shared" si="93"/>
        <v>0.71878729847425993</v>
      </c>
      <c r="C93" s="97">
        <f t="shared" si="94"/>
        <v>0.90201781993855468</v>
      </c>
      <c r="D93" s="90">
        <v>1.5132364178405469</v>
      </c>
      <c r="E93" s="97">
        <f t="shared" si="95"/>
        <v>1.0163581069730194</v>
      </c>
      <c r="F93" s="97">
        <f t="shared" si="96"/>
        <v>1.0291344469121138</v>
      </c>
      <c r="G93" s="97">
        <f t="shared" si="97"/>
        <v>1.0676997982153933</v>
      </c>
      <c r="H93" s="97">
        <f t="shared" si="98"/>
        <v>1.1396365442477625</v>
      </c>
      <c r="I93" s="97">
        <f t="shared" si="99"/>
        <v>1.1618678907774869</v>
      </c>
      <c r="J93" s="97">
        <f t="shared" si="100"/>
        <v>1.2817205794632407</v>
      </c>
      <c r="K93" s="92">
        <f t="shared" si="101"/>
        <v>1.4197604533766106</v>
      </c>
      <c r="L93" s="93">
        <f t="shared" si="102"/>
        <v>1.5851944585769466</v>
      </c>
      <c r="M93" s="97"/>
      <c r="P93" s="90" t="s">
        <v>34</v>
      </c>
      <c r="Q93" s="31">
        <v>5.1647880572785434</v>
      </c>
      <c r="R93" s="90"/>
      <c r="T93" s="97"/>
      <c r="U93" s="97">
        <v>28.079995822672448</v>
      </c>
      <c r="V93" s="105">
        <f t="shared" si="113"/>
        <v>1.5443997702469847</v>
      </c>
      <c r="W93" s="81">
        <f t="shared" si="103"/>
        <v>3.6203882870315587</v>
      </c>
      <c r="X93" s="81">
        <f t="shared" si="114"/>
        <v>7.6218700779611739</v>
      </c>
      <c r="Y93" s="30"/>
      <c r="Z93" s="90" t="s">
        <v>34</v>
      </c>
      <c r="AA93" s="31">
        <f t="shared" si="104"/>
        <v>7.6218700779611739</v>
      </c>
      <c r="AB93" s="97"/>
      <c r="AD93" s="97"/>
      <c r="AE93" s="97">
        <f t="shared" si="115"/>
        <v>0</v>
      </c>
      <c r="AF93" s="31">
        <f t="shared" si="105"/>
        <v>7.6218700779611739</v>
      </c>
      <c r="AG93" s="32">
        <f t="shared" si="116"/>
        <v>8.5880226230548438</v>
      </c>
      <c r="AH93" s="90"/>
      <c r="AJ93" s="97"/>
      <c r="AK93" s="97">
        <v>28.079995822672448</v>
      </c>
      <c r="AL93" s="97">
        <f t="shared" si="117"/>
        <v>0.56159991645344898</v>
      </c>
      <c r="AM93" s="31">
        <f t="shared" si="106"/>
        <v>8.0264227066013945</v>
      </c>
      <c r="AN93" s="32">
        <f t="shared" si="118"/>
        <v>9.0694041882501608</v>
      </c>
      <c r="AO93" s="90"/>
      <c r="AP93" s="97"/>
      <c r="AQ93" s="97"/>
      <c r="AR93" s="97">
        <v>28.079995822672448</v>
      </c>
      <c r="AS93" s="97">
        <f t="shared" si="119"/>
        <v>0.56159991645344898</v>
      </c>
      <c r="AT93" s="31">
        <f t="shared" si="107"/>
        <v>8.5078042717967115</v>
      </c>
      <c r="AU93" s="32">
        <f t="shared" si="120"/>
        <v>9.8356118749094943</v>
      </c>
      <c r="AV93" s="90"/>
      <c r="AW93" s="97"/>
      <c r="AX93" s="97"/>
      <c r="AY93" s="97">
        <v>28.079995822672448</v>
      </c>
      <c r="AZ93" s="97">
        <f t="shared" si="121"/>
        <v>0.3509999477834056</v>
      </c>
      <c r="BA93" s="31">
        <f t="shared" si="108"/>
        <v>8.1568043240133061</v>
      </c>
      <c r="BB93" s="32">
        <f t="shared" si="122"/>
        <v>10.839607075100744</v>
      </c>
      <c r="BC93" s="33" t="s">
        <v>60</v>
      </c>
      <c r="BD93" s="97"/>
      <c r="BE93" s="97"/>
      <c r="BF93" s="97"/>
      <c r="BG93" s="97">
        <v>28.079995822672448</v>
      </c>
      <c r="BH93" s="97">
        <f t="shared" si="123"/>
        <v>0.56159991645344898</v>
      </c>
      <c r="BI93" s="31">
        <f t="shared" si="109"/>
        <v>10.278007158647295</v>
      </c>
      <c r="BJ93" s="32">
        <f t="shared" si="124"/>
        <v>11.548322650165495</v>
      </c>
      <c r="BK93" s="90"/>
      <c r="BL93" s="97"/>
      <c r="BM93" s="97"/>
      <c r="BN93" s="97">
        <v>28.079995822672448</v>
      </c>
      <c r="BO93" s="97">
        <v>100</v>
      </c>
      <c r="BP93" s="97">
        <f t="shared" si="125"/>
        <v>3.4211999373400865</v>
      </c>
      <c r="BQ93" s="31">
        <f t="shared" si="110"/>
        <v>6.8568072213072089</v>
      </c>
      <c r="BR93" s="32">
        <f t="shared" si="126"/>
        <v>9.2037680822915497</v>
      </c>
      <c r="BS93" s="90"/>
      <c r="BT93" s="97"/>
      <c r="BU93" s="97"/>
      <c r="BV93" s="97">
        <v>28.079995822672448</v>
      </c>
      <c r="BW93" s="97">
        <v>100</v>
      </c>
      <c r="BX93" s="97">
        <f t="shared" si="127"/>
        <v>2.4913999268967677</v>
      </c>
      <c r="BY93" s="31">
        <f t="shared" si="111"/>
        <v>4.3654072944104412</v>
      </c>
      <c r="BZ93" s="32">
        <f t="shared" si="128"/>
        <v>7.1858556286591604</v>
      </c>
      <c r="CA93" s="90"/>
      <c r="CB93" s="97"/>
      <c r="CC93" s="97"/>
      <c r="CD93" s="97">
        <v>28.079995822672448</v>
      </c>
      <c r="CE93" s="97">
        <v>100</v>
      </c>
      <c r="CF93" s="97">
        <f t="shared" si="129"/>
        <v>1.5615999164534489</v>
      </c>
      <c r="CG93" s="31">
        <f t="shared" si="112"/>
        <v>2.8038073779569923</v>
      </c>
      <c r="CH93" s="32">
        <f t="shared" si="130"/>
        <v>5.8718479119518152</v>
      </c>
    </row>
    <row r="94" spans="1:86" s="83" customFormat="1" ht="18" x14ac:dyDescent="0.35">
      <c r="A94" s="121" t="s">
        <v>116</v>
      </c>
      <c r="B94" s="90">
        <f t="shared" si="93"/>
        <v>4.5393471027332382</v>
      </c>
      <c r="C94" s="97">
        <f t="shared" si="94"/>
        <v>4.3712667810891457</v>
      </c>
      <c r="D94" s="90">
        <v>4.1925949953640629</v>
      </c>
      <c r="E94" s="97">
        <f t="shared" si="95"/>
        <v>4.3199920575868749</v>
      </c>
      <c r="F94" s="97">
        <f t="shared" si="96"/>
        <v>4.1336610145351882</v>
      </c>
      <c r="G94" s="97">
        <f t="shared" si="97"/>
        <v>3.8503712194416306</v>
      </c>
      <c r="H94" s="97">
        <f t="shared" si="98"/>
        <v>3.6274663338826412</v>
      </c>
      <c r="I94" s="97">
        <f t="shared" si="99"/>
        <v>3.3005468586072118</v>
      </c>
      <c r="J94" s="97">
        <f t="shared" si="100"/>
        <v>3.096498928688316</v>
      </c>
      <c r="K94" s="92">
        <f t="shared" si="101"/>
        <v>2.7104598944327138</v>
      </c>
      <c r="L94" s="93">
        <f t="shared" si="102"/>
        <v>2.0034026306715225</v>
      </c>
      <c r="M94" s="97"/>
      <c r="P94" s="90" t="s">
        <v>35</v>
      </c>
      <c r="Q94" s="31">
        <v>0.11276523431310569</v>
      </c>
      <c r="R94" s="90"/>
      <c r="T94" s="97"/>
      <c r="U94" s="97"/>
      <c r="V94" s="105">
        <f t="shared" si="113"/>
        <v>0</v>
      </c>
      <c r="W94" s="81">
        <f t="shared" si="103"/>
        <v>0.11276523431310569</v>
      </c>
      <c r="X94" s="81">
        <f t="shared" si="114"/>
        <v>0.23740049329074872</v>
      </c>
      <c r="Y94" s="30"/>
      <c r="Z94" s="90" t="s">
        <v>35</v>
      </c>
      <c r="AA94" s="31">
        <f t="shared" si="104"/>
        <v>0.23740049329074872</v>
      </c>
      <c r="AB94" s="97"/>
      <c r="AD94" s="97"/>
      <c r="AE94" s="97">
        <f t="shared" si="115"/>
        <v>0</v>
      </c>
      <c r="AF94" s="31">
        <f t="shared" si="105"/>
        <v>0.23740049329074872</v>
      </c>
      <c r="AG94" s="32">
        <f t="shared" si="116"/>
        <v>0.26749351356704082</v>
      </c>
      <c r="AH94" s="90"/>
      <c r="AJ94" s="97"/>
      <c r="AK94" s="97"/>
      <c r="AL94" s="97">
        <f t="shared" si="117"/>
        <v>0</v>
      </c>
      <c r="AM94" s="31">
        <f t="shared" si="106"/>
        <v>0.26749351356704082</v>
      </c>
      <c r="AN94" s="32">
        <f t="shared" si="118"/>
        <v>0.30225255770287096</v>
      </c>
      <c r="AO94" s="90"/>
      <c r="AP94" s="97"/>
      <c r="AQ94" s="97"/>
      <c r="AR94" s="97"/>
      <c r="AS94" s="97">
        <f t="shared" si="119"/>
        <v>0</v>
      </c>
      <c r="AT94" s="31">
        <f t="shared" si="107"/>
        <v>0.30225255770287096</v>
      </c>
      <c r="AU94" s="32">
        <f t="shared" si="120"/>
        <v>0.34942492219985088</v>
      </c>
      <c r="AV94" s="90"/>
      <c r="AW94" s="97"/>
      <c r="AX94" s="97"/>
      <c r="AY94" s="97"/>
      <c r="AZ94" s="97">
        <f t="shared" si="121"/>
        <v>0</v>
      </c>
      <c r="BA94" s="31">
        <f t="shared" si="108"/>
        <v>0.30225255770287096</v>
      </c>
      <c r="BB94" s="32">
        <f t="shared" si="122"/>
        <v>0.4016645285087988</v>
      </c>
      <c r="BC94" s="33" t="s">
        <v>35</v>
      </c>
      <c r="BD94" s="97"/>
      <c r="BE94" s="97"/>
      <c r="BF94" s="97"/>
      <c r="BG94" s="97"/>
      <c r="BH94" s="97">
        <f t="shared" si="123"/>
        <v>0</v>
      </c>
      <c r="BI94" s="31">
        <f t="shared" si="109"/>
        <v>0.4016645285087988</v>
      </c>
      <c r="BJ94" s="32">
        <f t="shared" si="124"/>
        <v>0.45130845899865013</v>
      </c>
      <c r="BK94" s="90"/>
      <c r="BL94" s="97"/>
      <c r="BM94" s="97"/>
      <c r="BN94" s="97"/>
      <c r="BO94" s="97"/>
      <c r="BP94" s="97">
        <f t="shared" si="125"/>
        <v>0</v>
      </c>
      <c r="BQ94" s="31">
        <f t="shared" si="110"/>
        <v>0.4016645285087988</v>
      </c>
      <c r="BR94" s="32">
        <f t="shared" si="126"/>
        <v>0.53914701813261556</v>
      </c>
      <c r="BS94" s="90"/>
      <c r="BT94" s="97"/>
      <c r="BU94" s="97"/>
      <c r="BV94" s="97"/>
      <c r="BW94" s="97"/>
      <c r="BX94" s="97">
        <f t="shared" si="127"/>
        <v>0</v>
      </c>
      <c r="BY94" s="31">
        <f t="shared" si="111"/>
        <v>0.4016645285087988</v>
      </c>
      <c r="BZ94" s="32">
        <f t="shared" si="128"/>
        <v>0.66117617861530653</v>
      </c>
      <c r="CA94" s="90"/>
      <c r="CB94" s="97"/>
      <c r="CC94" s="97"/>
      <c r="CD94" s="97"/>
      <c r="CE94" s="97"/>
      <c r="CF94" s="97">
        <f t="shared" si="129"/>
        <v>0</v>
      </c>
      <c r="CG94" s="31">
        <f t="shared" si="112"/>
        <v>0.4016645285087988</v>
      </c>
      <c r="CH94" s="32">
        <f t="shared" si="130"/>
        <v>0.84118225865717</v>
      </c>
    </row>
    <row r="95" spans="1:86" s="83" customFormat="1" ht="18" x14ac:dyDescent="0.35">
      <c r="A95" s="121" t="s">
        <v>117</v>
      </c>
      <c r="B95" s="90">
        <f t="shared" si="93"/>
        <v>4.7216394300977935</v>
      </c>
      <c r="C95" s="97">
        <f t="shared" si="94"/>
        <v>4.4190303791532477</v>
      </c>
      <c r="D95" s="90">
        <v>4.4190303791532477</v>
      </c>
      <c r="E95" s="97">
        <f t="shared" si="95"/>
        <v>4.1212736666515468</v>
      </c>
      <c r="F95" s="97">
        <f t="shared" si="96"/>
        <v>3.9398572504537244</v>
      </c>
      <c r="G95" s="97">
        <f t="shared" si="97"/>
        <v>3.6745170525476585</v>
      </c>
      <c r="H95" s="97">
        <f t="shared" si="98"/>
        <v>3.324461462396977</v>
      </c>
      <c r="I95" s="97">
        <f t="shared" si="99"/>
        <v>2.9749005195471638</v>
      </c>
      <c r="J95" s="97">
        <f t="shared" si="100"/>
        <v>2.4183375334187596</v>
      </c>
      <c r="K95" s="92">
        <f t="shared" si="101"/>
        <v>1.8516238064147761</v>
      </c>
      <c r="L95" s="93">
        <f t="shared" si="102"/>
        <v>0.93834861234968936</v>
      </c>
      <c r="M95" s="97"/>
      <c r="P95" s="90" t="s">
        <v>36</v>
      </c>
      <c r="Q95" s="31">
        <v>0.12766028321017062</v>
      </c>
      <c r="R95" s="90"/>
      <c r="T95" s="97"/>
      <c r="U95" s="97"/>
      <c r="V95" s="105">
        <f t="shared" si="113"/>
        <v>0</v>
      </c>
      <c r="W95" s="81">
        <f t="shared" si="103"/>
        <v>0.12766028321017062</v>
      </c>
      <c r="X95" s="81">
        <f t="shared" si="114"/>
        <v>0.26875849096878013</v>
      </c>
      <c r="Y95" s="30"/>
      <c r="Z95" s="90" t="s">
        <v>36</v>
      </c>
      <c r="AA95" s="31">
        <f t="shared" si="104"/>
        <v>0.26875849096878013</v>
      </c>
      <c r="AB95" s="97"/>
      <c r="AD95" s="97"/>
      <c r="AE95" s="97">
        <f t="shared" si="115"/>
        <v>0</v>
      </c>
      <c r="AF95" s="31">
        <f t="shared" si="105"/>
        <v>0.26875849096878013</v>
      </c>
      <c r="AG95" s="32">
        <f t="shared" si="116"/>
        <v>0.30282646869721702</v>
      </c>
      <c r="AH95" s="90"/>
      <c r="AJ95" s="97"/>
      <c r="AK95" s="97"/>
      <c r="AL95" s="97">
        <f t="shared" si="117"/>
        <v>0</v>
      </c>
      <c r="AM95" s="31">
        <f t="shared" si="106"/>
        <v>0.30282646869721702</v>
      </c>
      <c r="AN95" s="32">
        <f t="shared" si="118"/>
        <v>0.34217680078781576</v>
      </c>
      <c r="AO95" s="90"/>
      <c r="AP95" s="97"/>
      <c r="AQ95" s="97"/>
      <c r="AR95" s="97"/>
      <c r="AS95" s="97">
        <f t="shared" si="119"/>
        <v>0</v>
      </c>
      <c r="AT95" s="31">
        <f t="shared" si="107"/>
        <v>0.34217680078781576</v>
      </c>
      <c r="AU95" s="32">
        <f t="shared" si="120"/>
        <v>0.39558011651770614</v>
      </c>
      <c r="AV95" s="90"/>
      <c r="AW95" s="97"/>
      <c r="AX95" s="97"/>
      <c r="AY95" s="97"/>
      <c r="AZ95" s="97">
        <f t="shared" si="121"/>
        <v>0</v>
      </c>
      <c r="BA95" s="31">
        <f t="shared" si="108"/>
        <v>0.34217680078781576</v>
      </c>
      <c r="BB95" s="32">
        <f t="shared" si="122"/>
        <v>0.45472000104693144</v>
      </c>
      <c r="BC95" s="33" t="s">
        <v>36</v>
      </c>
      <c r="BD95" s="97"/>
      <c r="BE95" s="97"/>
      <c r="BF95" s="97"/>
      <c r="BG95" s="97"/>
      <c r="BH95" s="97">
        <f t="shared" si="123"/>
        <v>0</v>
      </c>
      <c r="BI95" s="31">
        <f t="shared" si="109"/>
        <v>0.45472000104693144</v>
      </c>
      <c r="BJ95" s="32">
        <f t="shared" si="124"/>
        <v>0.51092134949093393</v>
      </c>
      <c r="BK95" s="90"/>
      <c r="BL95" s="97"/>
      <c r="BM95" s="97"/>
      <c r="BN95" s="97"/>
      <c r="BO95" s="97"/>
      <c r="BP95" s="97">
        <f t="shared" si="125"/>
        <v>0</v>
      </c>
      <c r="BQ95" s="31">
        <f t="shared" si="110"/>
        <v>0.45472000104693144</v>
      </c>
      <c r="BR95" s="32">
        <f t="shared" si="126"/>
        <v>0.61036241751265929</v>
      </c>
      <c r="BS95" s="90"/>
      <c r="BT95" s="97"/>
      <c r="BU95" s="97"/>
      <c r="BV95" s="97"/>
      <c r="BW95" s="97"/>
      <c r="BX95" s="97">
        <f t="shared" si="127"/>
        <v>0</v>
      </c>
      <c r="BY95" s="31">
        <f t="shared" si="111"/>
        <v>0.45472000104693144</v>
      </c>
      <c r="BZ95" s="32">
        <f t="shared" si="128"/>
        <v>0.74851028978918743</v>
      </c>
      <c r="CA95" s="90"/>
      <c r="CB95" s="97"/>
      <c r="CC95" s="97"/>
      <c r="CD95" s="97"/>
      <c r="CE95" s="97"/>
      <c r="CF95" s="97">
        <f t="shared" si="129"/>
        <v>0</v>
      </c>
      <c r="CG95" s="31">
        <f t="shared" si="112"/>
        <v>0.45472000104693144</v>
      </c>
      <c r="CH95" s="32">
        <f t="shared" si="130"/>
        <v>0.95229319590980377</v>
      </c>
    </row>
    <row r="96" spans="1:86" s="83" customFormat="1" ht="18" x14ac:dyDescent="0.35">
      <c r="A96" s="128" t="s">
        <v>118</v>
      </c>
      <c r="B96" s="108">
        <f t="shared" si="93"/>
        <v>2.6429604765111345E-2</v>
      </c>
      <c r="C96" s="110">
        <f t="shared" si="94"/>
        <v>5.5641273189708074E-2</v>
      </c>
      <c r="D96" s="108">
        <v>5.5641273189708074E-2</v>
      </c>
      <c r="E96" s="110">
        <f t="shared" si="95"/>
        <v>6.2694392326431633E-2</v>
      </c>
      <c r="F96" s="110">
        <f t="shared" si="96"/>
        <v>7.0841121272804092E-2</v>
      </c>
      <c r="G96" s="110">
        <f t="shared" si="97"/>
        <v>8.1897250026363125E-2</v>
      </c>
      <c r="H96" s="110">
        <f t="shared" si="98"/>
        <v>9.4141024947247992E-2</v>
      </c>
      <c r="I96" s="110">
        <f t="shared" si="99"/>
        <v>0.1057764325249977</v>
      </c>
      <c r="J96" s="110">
        <f t="shared" si="100"/>
        <v>0.12636379187550059</v>
      </c>
      <c r="K96" s="110">
        <f t="shared" si="101"/>
        <v>0.15496465011892668</v>
      </c>
      <c r="L96" s="111">
        <f t="shared" si="102"/>
        <v>0.19715397894711617</v>
      </c>
      <c r="M96" s="97"/>
      <c r="P96" s="90" t="s">
        <v>37</v>
      </c>
      <c r="Q96" s="31">
        <v>0.71878729847425993</v>
      </c>
      <c r="R96" s="90"/>
      <c r="T96" s="97"/>
      <c r="U96" s="97">
        <v>5.2787060727899329</v>
      </c>
      <c r="V96" s="105">
        <f t="shared" si="113"/>
        <v>0.29032883400344633</v>
      </c>
      <c r="W96" s="81">
        <f t="shared" si="103"/>
        <v>0.42845846447081359</v>
      </c>
      <c r="X96" s="81">
        <f t="shared" si="114"/>
        <v>0.90201781993855468</v>
      </c>
      <c r="Y96" s="30"/>
      <c r="Z96" s="90" t="s">
        <v>37</v>
      </c>
      <c r="AA96" s="31">
        <f t="shared" si="104"/>
        <v>0.90201781993855468</v>
      </c>
      <c r="AB96" s="97"/>
      <c r="AD96" s="97"/>
      <c r="AE96" s="97">
        <f t="shared" si="115"/>
        <v>0</v>
      </c>
      <c r="AF96" s="31">
        <f t="shared" si="105"/>
        <v>0.90201781993855468</v>
      </c>
      <c r="AG96" s="32">
        <f t="shared" si="116"/>
        <v>1.0163581069730194</v>
      </c>
      <c r="AH96" s="90"/>
      <c r="AJ96" s="97"/>
      <c r="AK96" s="97">
        <v>5.2787060727899329</v>
      </c>
      <c r="AL96" s="97">
        <f t="shared" si="117"/>
        <v>0.10557412145579866</v>
      </c>
      <c r="AM96" s="31">
        <f t="shared" si="106"/>
        <v>0.91078398551722073</v>
      </c>
      <c r="AN96" s="32">
        <f t="shared" si="118"/>
        <v>1.0291344469121138</v>
      </c>
      <c r="AO96" s="90"/>
      <c r="AP96" s="97"/>
      <c r="AQ96" s="97"/>
      <c r="AR96" s="97">
        <v>5.2787060727899329</v>
      </c>
      <c r="AS96" s="97">
        <f t="shared" si="119"/>
        <v>0.10557412145579866</v>
      </c>
      <c r="AT96" s="31">
        <f t="shared" si="107"/>
        <v>0.92356032545631506</v>
      </c>
      <c r="AU96" s="32">
        <f t="shared" si="120"/>
        <v>1.0676997982153933</v>
      </c>
      <c r="AV96" s="90"/>
      <c r="AW96" s="97"/>
      <c r="AX96" s="97"/>
      <c r="AY96" s="97">
        <v>5.2787060727899329</v>
      </c>
      <c r="AZ96" s="97">
        <f t="shared" si="121"/>
        <v>6.5983825909874158E-2</v>
      </c>
      <c r="BA96" s="31">
        <f t="shared" si="108"/>
        <v>0.85757649954644088</v>
      </c>
      <c r="BB96" s="32">
        <f t="shared" si="122"/>
        <v>1.1396365442477625</v>
      </c>
      <c r="BC96" s="33" t="s">
        <v>37</v>
      </c>
      <c r="BD96" s="97"/>
      <c r="BE96" s="97">
        <v>0</v>
      </c>
      <c r="BF96" s="97"/>
      <c r="BG96" s="97">
        <v>5.2787060727899329</v>
      </c>
      <c r="BH96" s="97">
        <f t="shared" si="123"/>
        <v>0.10557412145579866</v>
      </c>
      <c r="BI96" s="31">
        <f t="shared" si="109"/>
        <v>1.0340624227919639</v>
      </c>
      <c r="BJ96" s="32">
        <f t="shared" si="124"/>
        <v>1.1618678907774869</v>
      </c>
      <c r="BK96" s="90"/>
      <c r="BL96" s="97">
        <v>0</v>
      </c>
      <c r="BM96" s="97"/>
      <c r="BN96" s="97">
        <v>5.2787060727899329</v>
      </c>
      <c r="BO96" s="97"/>
      <c r="BP96" s="97">
        <f t="shared" si="125"/>
        <v>7.9180591091848995E-2</v>
      </c>
      <c r="BQ96" s="31">
        <f t="shared" si="110"/>
        <v>0.95488183170011487</v>
      </c>
      <c r="BR96" s="32">
        <f t="shared" si="126"/>
        <v>1.2817205794632407</v>
      </c>
      <c r="BS96" s="90"/>
      <c r="BT96" s="97">
        <v>0</v>
      </c>
      <c r="BU96" s="97"/>
      <c r="BV96" s="97">
        <v>5.2787060727899329</v>
      </c>
      <c r="BW96" s="97"/>
      <c r="BX96" s="97">
        <f t="shared" si="127"/>
        <v>9.2377356273823832E-2</v>
      </c>
      <c r="BY96" s="31">
        <f t="shared" si="111"/>
        <v>0.86250447542629105</v>
      </c>
      <c r="BZ96" s="32">
        <f t="shared" si="128"/>
        <v>1.4197604533766106</v>
      </c>
      <c r="CA96" s="90"/>
      <c r="CB96" s="97">
        <v>0</v>
      </c>
      <c r="CC96" s="97"/>
      <c r="CD96" s="97">
        <v>5.2787060727899329</v>
      </c>
      <c r="CE96" s="97"/>
      <c r="CF96" s="97">
        <f t="shared" si="129"/>
        <v>0.10557412145579866</v>
      </c>
      <c r="CG96" s="31">
        <f t="shared" si="112"/>
        <v>0.75693035397049235</v>
      </c>
      <c r="CH96" s="32">
        <f t="shared" si="130"/>
        <v>1.5851944585769466</v>
      </c>
    </row>
    <row r="97" spans="1:86" s="83" customFormat="1" ht="18" x14ac:dyDescent="0.35">
      <c r="A97" s="121" t="s">
        <v>19</v>
      </c>
      <c r="B97" s="150">
        <f t="shared" si="93"/>
        <v>100</v>
      </c>
      <c r="C97" s="129">
        <f t="shared" si="94"/>
        <v>99.999999999999986</v>
      </c>
      <c r="D97" s="150">
        <v>99.999999999999972</v>
      </c>
      <c r="E97" s="129">
        <f t="shared" si="95"/>
        <v>100</v>
      </c>
      <c r="F97" s="129">
        <f t="shared" si="96"/>
        <v>99.999999999999986</v>
      </c>
      <c r="G97" s="129">
        <f t="shared" si="97"/>
        <v>99.999999999999972</v>
      </c>
      <c r="H97" s="129">
        <f t="shared" si="98"/>
        <v>100.00000000000003</v>
      </c>
      <c r="I97" s="129">
        <f t="shared" si="99"/>
        <v>99.999999999999972</v>
      </c>
      <c r="J97" s="129">
        <f t="shared" si="100"/>
        <v>99.999999999999986</v>
      </c>
      <c r="K97" s="129">
        <f>BR100</f>
        <v>99.999999999999986</v>
      </c>
      <c r="L97" s="153">
        <f>BZ100</f>
        <v>100</v>
      </c>
      <c r="M97" s="129"/>
      <c r="P97" s="90" t="s">
        <v>119</v>
      </c>
      <c r="Q97" s="31">
        <v>4.5393471027332382</v>
      </c>
      <c r="R97" s="90"/>
      <c r="S97" s="83">
        <v>11.311027999595673</v>
      </c>
      <c r="T97" s="97"/>
      <c r="U97" s="97">
        <v>11.876925486919744</v>
      </c>
      <c r="V97" s="105">
        <f t="shared" si="113"/>
        <v>2.4629953817158934</v>
      </c>
      <c r="W97" s="81">
        <f t="shared" si="103"/>
        <v>2.0763517210173448</v>
      </c>
      <c r="X97" s="81">
        <f t="shared" si="114"/>
        <v>4.3712667810891457</v>
      </c>
      <c r="Y97" s="30"/>
      <c r="Z97" s="90" t="s">
        <v>119</v>
      </c>
      <c r="AA97" s="31">
        <f t="shared" si="104"/>
        <v>4.3712667810891457</v>
      </c>
      <c r="AB97" s="97"/>
      <c r="AC97" s="83">
        <v>11.311027999595673</v>
      </c>
      <c r="AD97" s="97"/>
      <c r="AE97" s="97">
        <f t="shared" si="115"/>
        <v>0.53727382998079443</v>
      </c>
      <c r="AF97" s="31">
        <f t="shared" si="105"/>
        <v>3.8339929511083515</v>
      </c>
      <c r="AG97" s="32">
        <f t="shared" si="116"/>
        <v>4.3199920575868749</v>
      </c>
      <c r="AH97" s="90"/>
      <c r="AI97" s="83">
        <v>11.311027999595673</v>
      </c>
      <c r="AJ97" s="97"/>
      <c r="AK97" s="97">
        <v>11.876925486919744</v>
      </c>
      <c r="AL97" s="97">
        <f t="shared" si="117"/>
        <v>0.66170205972323259</v>
      </c>
      <c r="AM97" s="31">
        <f t="shared" si="106"/>
        <v>3.6582899978636423</v>
      </c>
      <c r="AN97" s="32">
        <f t="shared" si="118"/>
        <v>4.1336610145351882</v>
      </c>
      <c r="AO97" s="90"/>
      <c r="AP97" s="97">
        <v>11.311027999595673</v>
      </c>
      <c r="AQ97" s="97"/>
      <c r="AR97" s="97">
        <v>11.876925486919744</v>
      </c>
      <c r="AS97" s="97">
        <f t="shared" si="119"/>
        <v>0.80308990971817851</v>
      </c>
      <c r="AT97" s="31">
        <f t="shared" si="107"/>
        <v>3.3305711048170097</v>
      </c>
      <c r="AU97" s="32">
        <f t="shared" si="120"/>
        <v>3.8503712194416306</v>
      </c>
      <c r="AV97" s="90"/>
      <c r="AW97" s="97">
        <v>11.311027999595673</v>
      </c>
      <c r="AX97" s="97"/>
      <c r="AY97" s="97">
        <v>11.876925486919744</v>
      </c>
      <c r="AZ97" s="97">
        <f t="shared" si="121"/>
        <v>0.6009026885703237</v>
      </c>
      <c r="BA97" s="31">
        <f t="shared" si="108"/>
        <v>2.7296684162466862</v>
      </c>
      <c r="BB97" s="32">
        <f t="shared" si="122"/>
        <v>3.6274663338826412</v>
      </c>
      <c r="BC97" s="33" t="s">
        <v>61</v>
      </c>
      <c r="BD97" s="97"/>
      <c r="BE97" s="97">
        <v>11.311027999595673</v>
      </c>
      <c r="BF97" s="97"/>
      <c r="BG97" s="97">
        <v>11.876925486919744</v>
      </c>
      <c r="BH97" s="97">
        <f t="shared" si="123"/>
        <v>0.68997962972222182</v>
      </c>
      <c r="BI97" s="31">
        <f t="shared" si="109"/>
        <v>2.9374867041604196</v>
      </c>
      <c r="BJ97" s="32">
        <f t="shared" si="124"/>
        <v>3.3005468586072118</v>
      </c>
      <c r="BK97" s="90"/>
      <c r="BL97" s="97">
        <v>11.311027999595673</v>
      </c>
      <c r="BM97" s="97"/>
      <c r="BN97" s="97">
        <v>11.876925486919744</v>
      </c>
      <c r="BO97" s="97"/>
      <c r="BP97" s="97">
        <f t="shared" si="125"/>
        <v>0.630595002287623</v>
      </c>
      <c r="BQ97" s="31">
        <f t="shared" si="110"/>
        <v>2.3068917018727966</v>
      </c>
      <c r="BR97" s="32">
        <f t="shared" si="126"/>
        <v>3.096498928688316</v>
      </c>
      <c r="BS97" s="90"/>
      <c r="BT97" s="97">
        <v>11.311027999595673</v>
      </c>
      <c r="BU97" s="97"/>
      <c r="BV97" s="97">
        <v>11.876925486919744</v>
      </c>
      <c r="BW97" s="97"/>
      <c r="BX97" s="97">
        <f t="shared" si="127"/>
        <v>0.66028731600492241</v>
      </c>
      <c r="BY97" s="31">
        <f t="shared" si="111"/>
        <v>1.6466043858678741</v>
      </c>
      <c r="BZ97" s="32">
        <f t="shared" si="128"/>
        <v>2.7104598944327138</v>
      </c>
      <c r="CA97" s="90"/>
      <c r="CB97" s="97">
        <v>11.311027999595673</v>
      </c>
      <c r="CC97" s="97"/>
      <c r="CD97" s="97">
        <v>11.876925486919744</v>
      </c>
      <c r="CE97" s="97"/>
      <c r="CF97" s="97">
        <f t="shared" si="129"/>
        <v>0.68997962972222182</v>
      </c>
      <c r="CG97" s="31">
        <f t="shared" si="112"/>
        <v>0.95662475614565223</v>
      </c>
      <c r="CH97" s="32">
        <f t="shared" si="130"/>
        <v>2.0034026306715225</v>
      </c>
    </row>
    <row r="98" spans="1:86" s="83" customFormat="1" ht="18" x14ac:dyDescent="0.35">
      <c r="A98" s="121"/>
      <c r="B98" s="90"/>
      <c r="C98" s="97"/>
      <c r="D98" s="90"/>
      <c r="E98" s="97"/>
      <c r="F98" s="97"/>
      <c r="G98" s="97"/>
      <c r="H98" s="97"/>
      <c r="I98" s="97"/>
      <c r="J98" s="97"/>
      <c r="K98" s="97"/>
      <c r="L98" s="98"/>
      <c r="M98" s="97"/>
      <c r="P98" s="90" t="s">
        <v>120</v>
      </c>
      <c r="Q98" s="31">
        <v>4.7216394300977935</v>
      </c>
      <c r="R98" s="90">
        <v>16.920000000000002</v>
      </c>
      <c r="T98" s="97"/>
      <c r="U98" s="97"/>
      <c r="V98" s="105">
        <f t="shared" si="113"/>
        <v>2.6226000000000003</v>
      </c>
      <c r="W98" s="81">
        <f t="shared" si="103"/>
        <v>2.0990394300977933</v>
      </c>
      <c r="X98" s="81">
        <f t="shared" si="114"/>
        <v>4.4190303791532477</v>
      </c>
      <c r="Y98" s="30"/>
      <c r="Z98" s="90" t="s">
        <v>120</v>
      </c>
      <c r="AA98" s="31">
        <f t="shared" si="104"/>
        <v>4.4190303791532477</v>
      </c>
      <c r="AB98" s="97">
        <v>16.920000000000002</v>
      </c>
      <c r="AD98" s="97"/>
      <c r="AE98" s="97">
        <f t="shared" si="115"/>
        <v>0.76140000000000008</v>
      </c>
      <c r="AF98" s="31">
        <f t="shared" si="105"/>
        <v>3.6576303791532476</v>
      </c>
      <c r="AG98" s="32">
        <f t="shared" si="116"/>
        <v>4.1212736666515468</v>
      </c>
      <c r="AH98" s="90">
        <v>16.920000000000002</v>
      </c>
      <c r="AJ98" s="97"/>
      <c r="AK98" s="97"/>
      <c r="AL98" s="97">
        <f t="shared" si="117"/>
        <v>0.63450000000000006</v>
      </c>
      <c r="AM98" s="31">
        <f t="shared" si="106"/>
        <v>3.4867736666515468</v>
      </c>
      <c r="AN98" s="32">
        <f t="shared" si="118"/>
        <v>3.9398572504537244</v>
      </c>
      <c r="AO98" s="90">
        <v>16.920000000000002</v>
      </c>
      <c r="AP98" s="97"/>
      <c r="AQ98" s="97"/>
      <c r="AR98" s="97"/>
      <c r="AS98" s="97">
        <f t="shared" si="119"/>
        <v>0.76140000000000008</v>
      </c>
      <c r="AT98" s="31">
        <f t="shared" si="107"/>
        <v>3.1784572504537243</v>
      </c>
      <c r="AU98" s="32">
        <f t="shared" si="120"/>
        <v>3.6745170525476585</v>
      </c>
      <c r="AV98" s="90">
        <v>16.920000000000002</v>
      </c>
      <c r="AW98" s="97"/>
      <c r="AX98" s="97"/>
      <c r="AY98" s="97"/>
      <c r="AZ98" s="97">
        <f t="shared" si="121"/>
        <v>0.67680000000000007</v>
      </c>
      <c r="BA98" s="31">
        <f t="shared" si="108"/>
        <v>2.5016572504537242</v>
      </c>
      <c r="BB98" s="32">
        <f t="shared" si="122"/>
        <v>3.324461462396977</v>
      </c>
      <c r="BC98" s="33" t="s">
        <v>62</v>
      </c>
      <c r="BD98" s="97">
        <v>16.920000000000002</v>
      </c>
      <c r="BE98" s="97"/>
      <c r="BF98" s="97"/>
      <c r="BG98" s="97"/>
      <c r="BH98" s="97">
        <f t="shared" si="123"/>
        <v>0.67680000000000007</v>
      </c>
      <c r="BI98" s="31">
        <f t="shared" si="109"/>
        <v>2.647661462396977</v>
      </c>
      <c r="BJ98" s="32">
        <f t="shared" si="124"/>
        <v>2.9749005195471638</v>
      </c>
      <c r="BK98" s="90">
        <v>16.920000000000002</v>
      </c>
      <c r="BL98" s="97"/>
      <c r="BM98" s="97"/>
      <c r="BN98" s="97"/>
      <c r="BO98" s="97"/>
      <c r="BP98" s="97">
        <f t="shared" si="125"/>
        <v>0.84600000000000009</v>
      </c>
      <c r="BQ98" s="31">
        <f t="shared" si="110"/>
        <v>1.8016614623969769</v>
      </c>
      <c r="BR98" s="32">
        <f t="shared" si="126"/>
        <v>2.4183375334187596</v>
      </c>
      <c r="BS98" s="90">
        <v>16.920000000000002</v>
      </c>
      <c r="BT98" s="97"/>
      <c r="BU98" s="97"/>
      <c r="BV98" s="97"/>
      <c r="BW98" s="97"/>
      <c r="BX98" s="97">
        <f t="shared" si="127"/>
        <v>0.67680000000000007</v>
      </c>
      <c r="BY98" s="31">
        <f t="shared" si="111"/>
        <v>1.1248614623969768</v>
      </c>
      <c r="BZ98" s="32">
        <f t="shared" si="128"/>
        <v>1.8516238064147761</v>
      </c>
      <c r="CA98" s="90">
        <v>16.920000000000002</v>
      </c>
      <c r="CB98" s="97"/>
      <c r="CC98" s="97"/>
      <c r="CD98" s="97"/>
      <c r="CE98" s="97"/>
      <c r="CF98" s="97">
        <f t="shared" si="129"/>
        <v>0.67680000000000007</v>
      </c>
      <c r="CG98" s="31">
        <f t="shared" si="112"/>
        <v>0.44806146239697675</v>
      </c>
      <c r="CH98" s="32">
        <f t="shared" si="130"/>
        <v>0.93834861234968936</v>
      </c>
    </row>
    <row r="99" spans="1:86" s="83" customFormat="1" ht="18" x14ac:dyDescent="0.35">
      <c r="A99" s="131" t="s">
        <v>121</v>
      </c>
      <c r="B99" s="106">
        <f>SUM(B94:B95)</f>
        <v>9.2609865328310317</v>
      </c>
      <c r="C99" s="109">
        <f t="shared" ref="C99:L99" si="131">SUM(C94:C95)</f>
        <v>8.7902971602423925</v>
      </c>
      <c r="D99" s="106">
        <f t="shared" si="131"/>
        <v>8.6116253745173097</v>
      </c>
      <c r="E99" s="107">
        <f t="shared" si="131"/>
        <v>8.4412657242384217</v>
      </c>
      <c r="F99" s="107">
        <f t="shared" si="131"/>
        <v>8.0735182649889126</v>
      </c>
      <c r="G99" s="107">
        <f t="shared" si="131"/>
        <v>7.5248882719892887</v>
      </c>
      <c r="H99" s="107">
        <f t="shared" si="131"/>
        <v>6.9519277962796178</v>
      </c>
      <c r="I99" s="107">
        <f t="shared" si="131"/>
        <v>6.2754473781543751</v>
      </c>
      <c r="J99" s="107">
        <f t="shared" si="131"/>
        <v>5.5148364621070751</v>
      </c>
      <c r="K99" s="107">
        <f t="shared" si="131"/>
        <v>4.5620837008474897</v>
      </c>
      <c r="L99" s="109">
        <f t="shared" si="131"/>
        <v>2.941751243021212</v>
      </c>
      <c r="M99" s="97"/>
      <c r="P99" s="108" t="s">
        <v>122</v>
      </c>
      <c r="Q99" s="35">
        <v>2.6429604765111345E-2</v>
      </c>
      <c r="R99" s="90"/>
      <c r="S99" s="95"/>
      <c r="T99" s="105"/>
      <c r="U99" s="105"/>
      <c r="V99" s="105">
        <f t="shared" si="113"/>
        <v>0</v>
      </c>
      <c r="W99" s="81">
        <f t="shared" si="103"/>
        <v>2.6429604765111345E-2</v>
      </c>
      <c r="X99" s="81">
        <f t="shared" si="114"/>
        <v>5.5641273189708074E-2</v>
      </c>
      <c r="Y99" s="30"/>
      <c r="Z99" s="90" t="s">
        <v>122</v>
      </c>
      <c r="AA99" s="31">
        <f t="shared" si="104"/>
        <v>5.5641273189708074E-2</v>
      </c>
      <c r="AB99" s="97"/>
      <c r="AD99" s="97"/>
      <c r="AE99" s="97">
        <f t="shared" si="115"/>
        <v>0</v>
      </c>
      <c r="AF99" s="31">
        <f t="shared" si="105"/>
        <v>5.5641273189708074E-2</v>
      </c>
      <c r="AG99" s="32">
        <f t="shared" si="116"/>
        <v>6.2694392326431633E-2</v>
      </c>
      <c r="AH99" s="90"/>
      <c r="AJ99" s="97"/>
      <c r="AK99" s="110"/>
      <c r="AL99" s="97">
        <f t="shared" si="117"/>
        <v>0</v>
      </c>
      <c r="AM99" s="31">
        <f t="shared" si="106"/>
        <v>6.2694392326431633E-2</v>
      </c>
      <c r="AN99" s="32">
        <f t="shared" si="118"/>
        <v>7.0841121272804092E-2</v>
      </c>
      <c r="AO99" s="90"/>
      <c r="AP99" s="97"/>
      <c r="AQ99" s="97"/>
      <c r="AR99" s="110"/>
      <c r="AS99" s="97">
        <f t="shared" si="119"/>
        <v>0</v>
      </c>
      <c r="AT99" s="31">
        <f t="shared" si="107"/>
        <v>7.0841121272804092E-2</v>
      </c>
      <c r="AU99" s="32">
        <f t="shared" si="120"/>
        <v>8.1897250026363125E-2</v>
      </c>
      <c r="AV99" s="90"/>
      <c r="AW99" s="97"/>
      <c r="AX99" s="97"/>
      <c r="AY99" s="110"/>
      <c r="AZ99" s="97">
        <f t="shared" si="121"/>
        <v>0</v>
      </c>
      <c r="BA99" s="31">
        <f t="shared" si="108"/>
        <v>7.0841121272804092E-2</v>
      </c>
      <c r="BB99" s="32">
        <f t="shared" si="122"/>
        <v>9.4141024947247992E-2</v>
      </c>
      <c r="BC99" s="33" t="s">
        <v>63</v>
      </c>
      <c r="BD99" s="97"/>
      <c r="BE99" s="97"/>
      <c r="BF99" s="97"/>
      <c r="BG99" s="110"/>
      <c r="BH99" s="97">
        <f t="shared" si="123"/>
        <v>0</v>
      </c>
      <c r="BI99" s="31">
        <f t="shared" si="109"/>
        <v>9.4141024947247992E-2</v>
      </c>
      <c r="BJ99" s="32">
        <f t="shared" si="124"/>
        <v>0.1057764325249977</v>
      </c>
      <c r="BK99" s="90"/>
      <c r="BL99" s="97"/>
      <c r="BM99" s="97"/>
      <c r="BN99" s="110"/>
      <c r="BO99" s="97"/>
      <c r="BP99" s="97">
        <f t="shared" si="125"/>
        <v>0</v>
      </c>
      <c r="BQ99" s="31">
        <f t="shared" si="110"/>
        <v>9.4141024947247992E-2</v>
      </c>
      <c r="BR99" s="32">
        <f t="shared" si="126"/>
        <v>0.12636379187550059</v>
      </c>
      <c r="BS99" s="90"/>
      <c r="BT99" s="97"/>
      <c r="BU99" s="97"/>
      <c r="BV99" s="110"/>
      <c r="BW99" s="97"/>
      <c r="BX99" s="97">
        <f t="shared" si="127"/>
        <v>0</v>
      </c>
      <c r="BY99" s="31">
        <f t="shared" si="111"/>
        <v>9.4141024947247992E-2</v>
      </c>
      <c r="BZ99" s="32">
        <f t="shared" si="128"/>
        <v>0.15496465011892668</v>
      </c>
      <c r="CA99" s="90"/>
      <c r="CB99" s="97"/>
      <c r="CC99" s="97"/>
      <c r="CD99" s="110"/>
      <c r="CE99" s="97"/>
      <c r="CF99" s="97">
        <f t="shared" si="129"/>
        <v>0</v>
      </c>
      <c r="CG99" s="31">
        <f t="shared" si="112"/>
        <v>9.4141024947247992E-2</v>
      </c>
      <c r="CH99" s="32">
        <f t="shared" si="130"/>
        <v>0.19715397894711617</v>
      </c>
    </row>
    <row r="100" spans="1:86" s="83" customFormat="1" x14ac:dyDescent="0.25">
      <c r="A100" s="121" t="s">
        <v>132</v>
      </c>
      <c r="B100" s="90">
        <f>B102/(B104+B105)</f>
        <v>0.90455342159050478</v>
      </c>
      <c r="C100" s="98">
        <f t="shared" ref="C100:L100" si="132">C102/(C104+C105)</f>
        <v>0.92223875207985673</v>
      </c>
      <c r="D100" s="90">
        <f t="shared" si="132"/>
        <v>0.94544613661590193</v>
      </c>
      <c r="E100" s="105">
        <f t="shared" si="132"/>
        <v>0.90015484420005876</v>
      </c>
      <c r="F100" s="105">
        <f t="shared" si="132"/>
        <v>0.91438584019437008</v>
      </c>
      <c r="G100" s="105">
        <f t="shared" si="132"/>
        <v>0.92652527293103026</v>
      </c>
      <c r="H100" s="105">
        <f t="shared" si="132"/>
        <v>0.93189796450642892</v>
      </c>
      <c r="I100" s="105">
        <f t="shared" si="132"/>
        <v>0.9558617586098016</v>
      </c>
      <c r="J100" s="105">
        <f t="shared" si="132"/>
        <v>0.97808471283814202</v>
      </c>
      <c r="K100" s="105">
        <f t="shared" si="132"/>
        <v>1.0348714354789486</v>
      </c>
      <c r="L100" s="98">
        <f t="shared" si="132"/>
        <v>1.2178980241209072</v>
      </c>
      <c r="M100" s="97"/>
      <c r="P100" s="108" t="s">
        <v>19</v>
      </c>
      <c r="Q100" s="35">
        <f t="shared" ref="Q100:X100" si="133">SUM(Q90:Q99)</f>
        <v>100</v>
      </c>
      <c r="R100" s="113">
        <f t="shared" si="133"/>
        <v>100.00000000000001</v>
      </c>
      <c r="S100" s="103">
        <f t="shared" si="133"/>
        <v>99.999999999999972</v>
      </c>
      <c r="T100" s="103">
        <f t="shared" si="133"/>
        <v>100</v>
      </c>
      <c r="U100" s="103">
        <f t="shared" si="133"/>
        <v>100</v>
      </c>
      <c r="V100" s="103">
        <f t="shared" si="133"/>
        <v>52.499999999999993</v>
      </c>
      <c r="W100" s="104">
        <f t="shared" si="133"/>
        <v>47.500000000000014</v>
      </c>
      <c r="X100" s="40">
        <f t="shared" si="133"/>
        <v>99.999999999999986</v>
      </c>
      <c r="Y100" s="39"/>
      <c r="Z100" s="113" t="s">
        <v>19</v>
      </c>
      <c r="AA100" s="40">
        <f t="shared" ref="AA100:BB100" si="134">SUM(AA90:AA99)</f>
        <v>99.999999999999986</v>
      </c>
      <c r="AB100" s="103">
        <f t="shared" si="134"/>
        <v>100.00000000000001</v>
      </c>
      <c r="AC100" s="103">
        <f t="shared" si="134"/>
        <v>99.999999999999972</v>
      </c>
      <c r="AD100" s="103">
        <f t="shared" si="134"/>
        <v>100</v>
      </c>
      <c r="AE100" s="103">
        <f t="shared" si="134"/>
        <v>11.249999999999998</v>
      </c>
      <c r="AF100" s="103">
        <f t="shared" si="134"/>
        <v>88.75</v>
      </c>
      <c r="AG100" s="41">
        <f t="shared" si="134"/>
        <v>100</v>
      </c>
      <c r="AH100" s="113">
        <f t="shared" si="134"/>
        <v>100.00000000000001</v>
      </c>
      <c r="AI100" s="103">
        <f t="shared" si="134"/>
        <v>99.999999999999972</v>
      </c>
      <c r="AJ100" s="103">
        <f t="shared" si="134"/>
        <v>100</v>
      </c>
      <c r="AK100" s="103">
        <f t="shared" si="134"/>
        <v>100</v>
      </c>
      <c r="AL100" s="103">
        <f t="shared" si="134"/>
        <v>11.5</v>
      </c>
      <c r="AM100" s="103">
        <f t="shared" si="134"/>
        <v>88.500000000000014</v>
      </c>
      <c r="AN100" s="41">
        <f t="shared" si="134"/>
        <v>99.999999999999986</v>
      </c>
      <c r="AO100" s="113">
        <f t="shared" si="134"/>
        <v>100.00000000000001</v>
      </c>
      <c r="AP100" s="103">
        <f t="shared" si="134"/>
        <v>99.999999999999972</v>
      </c>
      <c r="AQ100" s="103">
        <f t="shared" si="134"/>
        <v>100</v>
      </c>
      <c r="AR100" s="103">
        <f t="shared" si="134"/>
        <v>100</v>
      </c>
      <c r="AS100" s="103">
        <f t="shared" si="134"/>
        <v>13.499999999999998</v>
      </c>
      <c r="AT100" s="103">
        <f t="shared" si="134"/>
        <v>86.499999999999986</v>
      </c>
      <c r="AU100" s="41">
        <f t="shared" si="134"/>
        <v>99.999999999999972</v>
      </c>
      <c r="AV100" s="113">
        <f t="shared" si="134"/>
        <v>100.00000000000001</v>
      </c>
      <c r="AW100" s="103">
        <f t="shared" si="134"/>
        <v>99.999999999999972</v>
      </c>
      <c r="AX100" s="103">
        <f t="shared" si="134"/>
        <v>100</v>
      </c>
      <c r="AY100" s="103">
        <f t="shared" si="134"/>
        <v>100</v>
      </c>
      <c r="AZ100" s="103">
        <f t="shared" si="134"/>
        <v>11.25</v>
      </c>
      <c r="BA100" s="103">
        <f t="shared" si="134"/>
        <v>75.249999999999972</v>
      </c>
      <c r="BB100" s="41">
        <f t="shared" si="134"/>
        <v>100.00000000000003</v>
      </c>
      <c r="BC100" s="42" t="s">
        <v>19</v>
      </c>
      <c r="BD100" s="103">
        <f t="shared" ref="BD100:CH100" si="135">SUM(BD90:BD99)</f>
        <v>100.00000000000001</v>
      </c>
      <c r="BE100" s="103">
        <f t="shared" si="135"/>
        <v>99.999999999999972</v>
      </c>
      <c r="BF100" s="103">
        <f t="shared" si="135"/>
        <v>100</v>
      </c>
      <c r="BG100" s="103">
        <f t="shared" si="135"/>
        <v>100</v>
      </c>
      <c r="BH100" s="103">
        <f t="shared" si="135"/>
        <v>11</v>
      </c>
      <c r="BI100" s="103">
        <f t="shared" si="135"/>
        <v>89.000000000000043</v>
      </c>
      <c r="BJ100" s="41">
        <f t="shared" si="135"/>
        <v>99.999999999999972</v>
      </c>
      <c r="BK100" s="113">
        <f t="shared" si="135"/>
        <v>100.00000000000001</v>
      </c>
      <c r="BL100" s="103">
        <f t="shared" si="135"/>
        <v>99.999999999999972</v>
      </c>
      <c r="BM100" s="103">
        <f t="shared" si="135"/>
        <v>100</v>
      </c>
      <c r="BN100" s="103">
        <f t="shared" si="135"/>
        <v>100</v>
      </c>
      <c r="BO100" s="103">
        <f t="shared" si="135"/>
        <v>100</v>
      </c>
      <c r="BP100" s="103">
        <f t="shared" si="135"/>
        <v>14.5</v>
      </c>
      <c r="BQ100" s="103">
        <f t="shared" si="135"/>
        <v>74.500000000000043</v>
      </c>
      <c r="BR100" s="41">
        <f t="shared" si="135"/>
        <v>99.999999999999986</v>
      </c>
      <c r="BS100" s="113">
        <f t="shared" si="135"/>
        <v>100.00000000000001</v>
      </c>
      <c r="BT100" s="103">
        <f t="shared" si="135"/>
        <v>99.999999999999972</v>
      </c>
      <c r="BU100" s="103">
        <f t="shared" si="135"/>
        <v>100</v>
      </c>
      <c r="BV100" s="103">
        <f t="shared" si="135"/>
        <v>100</v>
      </c>
      <c r="BW100" s="103">
        <f t="shared" si="135"/>
        <v>100</v>
      </c>
      <c r="BX100" s="103">
        <f t="shared" si="135"/>
        <v>13.749999999999998</v>
      </c>
      <c r="BY100" s="103">
        <f t="shared" si="135"/>
        <v>60.750000000000014</v>
      </c>
      <c r="BZ100" s="41">
        <f t="shared" si="135"/>
        <v>100</v>
      </c>
      <c r="CA100" s="113">
        <f t="shared" si="135"/>
        <v>100.00000000000001</v>
      </c>
      <c r="CB100" s="103">
        <f t="shared" si="135"/>
        <v>99.999999999999972</v>
      </c>
      <c r="CC100" s="103">
        <f t="shared" si="135"/>
        <v>100</v>
      </c>
      <c r="CD100" s="103">
        <f t="shared" si="135"/>
        <v>100</v>
      </c>
      <c r="CE100" s="103">
        <f t="shared" si="135"/>
        <v>100</v>
      </c>
      <c r="CF100" s="103">
        <f t="shared" si="135"/>
        <v>13</v>
      </c>
      <c r="CG100" s="103">
        <f t="shared" si="135"/>
        <v>47.750000000000014</v>
      </c>
      <c r="CH100" s="41">
        <f t="shared" si="135"/>
        <v>100.00000000000003</v>
      </c>
    </row>
    <row r="101" spans="1:86" s="83" customFormat="1" x14ac:dyDescent="0.25">
      <c r="A101" s="121" t="s">
        <v>133</v>
      </c>
      <c r="B101" s="90">
        <f>B102/(B103+B104+B105)</f>
        <v>0.8598823159040806</v>
      </c>
      <c r="C101" s="98">
        <f t="shared" ref="C101:L101" si="136">C102/(C103+C104+C105)</f>
        <v>0.8631299296095436</v>
      </c>
      <c r="D101" s="90">
        <f t="shared" si="136"/>
        <v>0.84582700127180865</v>
      </c>
      <c r="E101" s="105">
        <f t="shared" si="136"/>
        <v>0.83357291728342653</v>
      </c>
      <c r="F101" s="105">
        <f t="shared" si="136"/>
        <v>0.8430973738718337</v>
      </c>
      <c r="G101" s="105">
        <f t="shared" si="136"/>
        <v>0.84681294795571549</v>
      </c>
      <c r="H101" s="105">
        <f t="shared" si="136"/>
        <v>0.84083116184805617</v>
      </c>
      <c r="I101" s="105">
        <f t="shared" si="136"/>
        <v>0.85184017700788806</v>
      </c>
      <c r="J101" s="105">
        <f t="shared" si="136"/>
        <v>0.84969711912181534</v>
      </c>
      <c r="K101" s="105">
        <f t="shared" si="136"/>
        <v>0.86260685669343773</v>
      </c>
      <c r="L101" s="98">
        <f t="shared" si="136"/>
        <v>0.91279517729835602</v>
      </c>
      <c r="M101" s="97"/>
      <c r="O101" s="97"/>
      <c r="Q101" s="97"/>
      <c r="R101" s="97"/>
      <c r="S101" s="97"/>
      <c r="T101" s="97"/>
      <c r="Y101" s="97"/>
      <c r="AA101" s="97"/>
      <c r="AB101" s="97"/>
      <c r="AC101" s="97"/>
      <c r="AG101" s="97"/>
      <c r="AH101" s="97"/>
      <c r="AI101" s="97"/>
      <c r="AJ101" s="97"/>
      <c r="AN101" s="97"/>
      <c r="AO101" s="97"/>
      <c r="AP101" s="97"/>
      <c r="AQ101" s="97"/>
      <c r="AU101" s="97"/>
      <c r="AV101" s="97"/>
      <c r="AW101" s="97"/>
      <c r="BC101" s="97"/>
    </row>
    <row r="102" spans="1:86" s="83" customFormat="1" x14ac:dyDescent="0.25">
      <c r="A102" s="121" t="s">
        <v>38</v>
      </c>
      <c r="B102" s="90">
        <f>(2*B89)/101.94</f>
        <v>0.22317159909607329</v>
      </c>
      <c r="C102" s="98">
        <f t="shared" ref="C102:L102" si="137">(2*C89)/101.94</f>
        <v>0.21660792807350943</v>
      </c>
      <c r="D102" s="90">
        <f t="shared" si="137"/>
        <v>0.21660792807350943</v>
      </c>
      <c r="E102" s="105">
        <f t="shared" si="137"/>
        <v>0.20424113252027981</v>
      </c>
      <c r="F102" s="105">
        <f t="shared" si="137"/>
        <v>0.19845044048078064</v>
      </c>
      <c r="G102" s="105">
        <f t="shared" si="137"/>
        <v>0.1873960529375783</v>
      </c>
      <c r="H102" s="105">
        <f t="shared" si="137"/>
        <v>0.17485394496110351</v>
      </c>
      <c r="I102" s="105">
        <f t="shared" si="137"/>
        <v>0.16217298062171753</v>
      </c>
      <c r="J102" s="105">
        <f t="shared" si="137"/>
        <v>0.14794589181968798</v>
      </c>
      <c r="K102" s="105">
        <f t="shared" si="137"/>
        <v>0.13119291719817736</v>
      </c>
      <c r="L102" s="98">
        <f t="shared" si="137"/>
        <v>0.10299414657616311</v>
      </c>
      <c r="M102" s="97"/>
      <c r="O102" s="97"/>
      <c r="P102" s="97"/>
      <c r="T102" s="97"/>
      <c r="U102" s="97"/>
      <c r="V102" s="97"/>
      <c r="Y102" s="97"/>
      <c r="AA102" s="97"/>
      <c r="AB102" s="97"/>
      <c r="AC102" s="97"/>
      <c r="AG102" s="97"/>
      <c r="AH102" s="97"/>
      <c r="AI102" s="97"/>
      <c r="AJ102" s="97"/>
      <c r="AN102" s="97"/>
      <c r="AO102" s="97"/>
      <c r="AP102" s="97"/>
      <c r="AQ102" s="97"/>
      <c r="AU102" s="97"/>
      <c r="AV102" s="97"/>
      <c r="AW102" s="97"/>
      <c r="BC102" s="97"/>
    </row>
    <row r="103" spans="1:86" s="83" customFormat="1" x14ac:dyDescent="0.25">
      <c r="A103" s="121" t="s">
        <v>39</v>
      </c>
      <c r="B103" s="90">
        <f>B93/56.08</f>
        <v>1.2817177219583809E-2</v>
      </c>
      <c r="C103" s="98">
        <f t="shared" ref="C103:L103" si="138">C93/56.08</f>
        <v>1.6084483237135426E-2</v>
      </c>
      <c r="D103" s="90">
        <f t="shared" si="138"/>
        <v>2.6983530988597484E-2</v>
      </c>
      <c r="E103" s="105">
        <f t="shared" si="138"/>
        <v>1.8123361393955411E-2</v>
      </c>
      <c r="F103" s="105">
        <f t="shared" si="138"/>
        <v>1.8351184859345823E-2</v>
      </c>
      <c r="G103" s="105">
        <f t="shared" si="138"/>
        <v>1.9038869440360082E-2</v>
      </c>
      <c r="H103" s="105">
        <f t="shared" si="138"/>
        <v>2.0321621687727578E-2</v>
      </c>
      <c r="I103" s="105">
        <f t="shared" si="138"/>
        <v>2.0718043701453047E-2</v>
      </c>
      <c r="J103" s="105">
        <f t="shared" si="138"/>
        <v>2.2855217180157646E-2</v>
      </c>
      <c r="K103" s="105">
        <f t="shared" si="138"/>
        <v>2.5316698526687068E-2</v>
      </c>
      <c r="L103" s="98">
        <f t="shared" si="138"/>
        <v>2.8266662956079647E-2</v>
      </c>
      <c r="M103" s="97"/>
      <c r="O103" s="97"/>
      <c r="P103" s="97"/>
      <c r="T103" s="97"/>
      <c r="U103" s="97"/>
      <c r="V103" s="97"/>
      <c r="Y103" s="97"/>
      <c r="AA103" s="97"/>
      <c r="AB103" s="97"/>
      <c r="AC103" s="97"/>
      <c r="AG103" s="97"/>
      <c r="AH103" s="97"/>
      <c r="AI103" s="97"/>
      <c r="AJ103" s="97"/>
      <c r="AN103" s="97"/>
      <c r="AO103" s="97"/>
      <c r="AP103" s="97"/>
      <c r="AQ103" s="97"/>
      <c r="AU103" s="97"/>
      <c r="AV103" s="97"/>
      <c r="AW103" s="97"/>
      <c r="BC103" s="97"/>
    </row>
    <row r="104" spans="1:86" s="83" customFormat="1" x14ac:dyDescent="0.25">
      <c r="A104" s="121" t="s">
        <v>40</v>
      </c>
      <c r="B104" s="90">
        <f>(2*B94)/61.982</f>
        <v>0.14647307614253294</v>
      </c>
      <c r="C104" s="98">
        <f t="shared" ref="C104:L104" si="139">(2*C94)/61.982</f>
        <v>0.14104955571259867</v>
      </c>
      <c r="D104" s="90">
        <f t="shared" si="139"/>
        <v>0.13528427593056253</v>
      </c>
      <c r="E104" s="105">
        <f t="shared" si="139"/>
        <v>0.1393950520340381</v>
      </c>
      <c r="F104" s="105">
        <f t="shared" si="139"/>
        <v>0.13338262768336576</v>
      </c>
      <c r="G104" s="105">
        <f t="shared" si="139"/>
        <v>0.12424159334779873</v>
      </c>
      <c r="H104" s="105">
        <f t="shared" si="139"/>
        <v>0.11704902500347331</v>
      </c>
      <c r="I104" s="105">
        <f t="shared" si="139"/>
        <v>0.10650017290849639</v>
      </c>
      <c r="J104" s="105">
        <f t="shared" si="139"/>
        <v>9.991607010707354E-2</v>
      </c>
      <c r="K104" s="105">
        <f t="shared" si="139"/>
        <v>8.7459581634433028E-2</v>
      </c>
      <c r="L104" s="98">
        <f t="shared" si="139"/>
        <v>6.4644659116244146E-2</v>
      </c>
      <c r="M104" s="97"/>
      <c r="O104" s="97"/>
      <c r="P104" s="97"/>
      <c r="Q104" s="97"/>
      <c r="R104" s="97"/>
      <c r="T104" s="97"/>
      <c r="V104" s="97"/>
      <c r="Y104" s="97"/>
      <c r="AA104" s="97"/>
      <c r="AB104" s="97"/>
      <c r="AC104" s="97"/>
      <c r="AG104" s="97"/>
      <c r="AH104" s="97"/>
      <c r="AI104" s="97"/>
      <c r="AJ104" s="97"/>
      <c r="AN104" s="97"/>
      <c r="AO104" s="97"/>
      <c r="AP104" s="97"/>
      <c r="AQ104" s="97"/>
      <c r="AU104" s="97"/>
      <c r="AV104" s="97"/>
      <c r="AW104" s="97"/>
      <c r="BC104" s="97"/>
    </row>
    <row r="105" spans="1:86" s="83" customFormat="1" x14ac:dyDescent="0.25">
      <c r="A105" s="128" t="s">
        <v>41</v>
      </c>
      <c r="B105" s="108">
        <f>(2*B95)/94.2</f>
        <v>0.10024712165812724</v>
      </c>
      <c r="C105" s="111">
        <f t="shared" ref="C105:L105" si="140">(2*C95)/94.2</f>
        <v>9.3822301043593362E-2</v>
      </c>
      <c r="D105" s="108">
        <f t="shared" si="140"/>
        <v>9.3822301043593362E-2</v>
      </c>
      <c r="E105" s="110">
        <f t="shared" si="140"/>
        <v>8.7500502476678274E-2</v>
      </c>
      <c r="F105" s="110">
        <f t="shared" si="140"/>
        <v>8.3648773894983527E-2</v>
      </c>
      <c r="G105" s="110">
        <f t="shared" si="140"/>
        <v>7.8015224045597839E-2</v>
      </c>
      <c r="H105" s="110">
        <f t="shared" si="140"/>
        <v>7.0583045910763836E-2</v>
      </c>
      <c r="I105" s="110">
        <f t="shared" si="140"/>
        <v>6.316136984176568E-2</v>
      </c>
      <c r="J105" s="110">
        <f t="shared" si="140"/>
        <v>5.134474593245774E-2</v>
      </c>
      <c r="K105" s="110">
        <f t="shared" si="140"/>
        <v>3.9312607354878473E-2</v>
      </c>
      <c r="L105" s="111">
        <f t="shared" si="140"/>
        <v>1.9922475846065591E-2</v>
      </c>
      <c r="M105" s="97"/>
      <c r="O105" s="97"/>
      <c r="Q105" s="97"/>
      <c r="R105" s="97"/>
      <c r="T105" s="97"/>
      <c r="Y105" s="97"/>
      <c r="AA105" s="97"/>
      <c r="AB105" s="97"/>
      <c r="AC105" s="97"/>
      <c r="AG105" s="97"/>
      <c r="AH105" s="97"/>
      <c r="AI105" s="97"/>
      <c r="AJ105" s="97"/>
      <c r="AN105" s="97"/>
      <c r="AO105" s="97"/>
      <c r="AP105" s="97"/>
      <c r="AQ105" s="97"/>
      <c r="AU105" s="97"/>
      <c r="AV105" s="97"/>
      <c r="AW105" s="97"/>
      <c r="BC105" s="97"/>
    </row>
    <row r="106" spans="1:86" s="83" customFormat="1" x14ac:dyDescent="0.25">
      <c r="A106" s="121"/>
      <c r="B106" s="91"/>
      <c r="C106" s="92"/>
      <c r="D106" s="91"/>
      <c r="E106" s="92"/>
      <c r="F106" s="92"/>
      <c r="G106" s="92"/>
      <c r="H106" s="92"/>
      <c r="I106" s="92"/>
      <c r="J106" s="92"/>
      <c r="K106" s="92"/>
      <c r="L106" s="93"/>
      <c r="M106" s="92"/>
      <c r="O106" s="97"/>
      <c r="Q106" s="97"/>
      <c r="R106" s="97"/>
      <c r="S106" s="97"/>
      <c r="T106" s="97"/>
      <c r="Y106" s="97"/>
      <c r="AA106" s="97"/>
      <c r="AB106" s="97"/>
      <c r="AC106" s="97"/>
      <c r="AG106" s="97"/>
      <c r="AH106" s="97"/>
      <c r="AI106" s="97"/>
      <c r="AJ106" s="97"/>
      <c r="AN106" s="97"/>
      <c r="AO106" s="97"/>
      <c r="AP106" s="97"/>
      <c r="AQ106" s="97"/>
      <c r="AU106" s="97"/>
      <c r="AV106" s="97"/>
      <c r="AW106" s="97"/>
      <c r="BC106" s="97"/>
    </row>
    <row r="107" spans="1:86" s="83" customFormat="1" x14ac:dyDescent="0.25">
      <c r="A107" s="112" t="s">
        <v>42</v>
      </c>
      <c r="B107" s="91"/>
      <c r="C107" s="92"/>
      <c r="D107" s="91"/>
      <c r="E107" s="92"/>
      <c r="F107" s="92"/>
      <c r="G107" s="92"/>
      <c r="H107" s="92"/>
      <c r="I107" s="92"/>
      <c r="J107" s="92"/>
      <c r="K107" s="92"/>
      <c r="L107" s="93"/>
      <c r="M107" s="92"/>
      <c r="O107" s="97"/>
      <c r="P107" s="84" t="s">
        <v>64</v>
      </c>
      <c r="Q107" s="97"/>
      <c r="R107" s="97"/>
      <c r="S107" s="97"/>
      <c r="T107" s="97"/>
      <c r="Y107" s="97"/>
      <c r="AA107" s="97"/>
      <c r="AB107" s="97"/>
      <c r="AC107" s="97"/>
      <c r="AG107" s="97"/>
      <c r="AH107" s="97"/>
      <c r="AI107" s="97"/>
      <c r="AJ107" s="97"/>
      <c r="AN107" s="97"/>
      <c r="AO107" s="97"/>
      <c r="AP107" s="97"/>
      <c r="AQ107" s="97"/>
      <c r="AU107" s="97"/>
      <c r="AV107" s="97"/>
      <c r="AW107" s="97"/>
      <c r="BC107" s="97"/>
    </row>
    <row r="108" spans="1:86" s="83" customFormat="1" x14ac:dyDescent="0.25">
      <c r="A108" s="154" t="s">
        <v>65</v>
      </c>
      <c r="B108" s="85"/>
      <c r="C108" s="132">
        <f>(R88*Q100)+(S88*Q100)</f>
        <v>31.5</v>
      </c>
      <c r="D108" s="133"/>
      <c r="E108" s="132">
        <f>AB88*AA100+AC88*AA100</f>
        <v>9.2499999999999982</v>
      </c>
      <c r="F108" s="107">
        <f>AH88*AG100+AI88*AG100</f>
        <v>7.5</v>
      </c>
      <c r="G108" s="132">
        <f>AO88*AN100+AP88*AN100</f>
        <v>9.5</v>
      </c>
      <c r="H108" s="132">
        <f>AV88*AU100+AW88*AU100</f>
        <v>7.9999999999999982</v>
      </c>
      <c r="I108" s="132">
        <f>BD88*BB100+BE88*BB100</f>
        <v>8.0000000000000018</v>
      </c>
      <c r="J108" s="132">
        <f>BK88*BJ100+BL88*BJ100</f>
        <v>8.9999999999999982</v>
      </c>
      <c r="K108" s="132">
        <f>BS88*BR100+BT88*BR100</f>
        <v>7.9999999999999991</v>
      </c>
      <c r="L108" s="134">
        <f>CA88*BZ100+CB88*BZ100</f>
        <v>8</v>
      </c>
      <c r="P108" s="135" t="s">
        <v>65</v>
      </c>
      <c r="Q108" s="136" t="s">
        <v>50</v>
      </c>
      <c r="R108" s="136" t="s">
        <v>51</v>
      </c>
      <c r="S108" s="137" t="s">
        <v>54</v>
      </c>
      <c r="T108" s="97" t="s">
        <v>110</v>
      </c>
      <c r="Y108" s="97"/>
      <c r="AA108" s="97"/>
      <c r="AB108" s="97"/>
      <c r="AC108" s="97"/>
      <c r="AG108" s="97"/>
      <c r="AH108" s="97"/>
      <c r="AI108" s="97"/>
      <c r="AJ108" s="97"/>
      <c r="AN108" s="97"/>
      <c r="AO108" s="97"/>
      <c r="AP108" s="97"/>
      <c r="AQ108" s="97"/>
      <c r="AU108" s="97"/>
      <c r="AV108" s="97"/>
      <c r="AW108" s="97"/>
      <c r="BC108" s="97"/>
    </row>
    <row r="109" spans="1:86" s="83" customFormat="1" x14ac:dyDescent="0.25">
      <c r="A109" s="121" t="s">
        <v>50</v>
      </c>
      <c r="B109" s="94"/>
      <c r="C109" s="92">
        <f>T88*100</f>
        <v>15.5</v>
      </c>
      <c r="D109" s="91"/>
      <c r="E109" s="92">
        <f>AD88*100</f>
        <v>2</v>
      </c>
      <c r="F109" s="97">
        <f>AJ88*AG100</f>
        <v>2</v>
      </c>
      <c r="G109" s="92">
        <f>AQ88*AN100</f>
        <v>1.9999999999999998</v>
      </c>
      <c r="H109" s="92">
        <f>AX88*AU100</f>
        <v>1.9999999999999996</v>
      </c>
      <c r="I109" s="92">
        <f>BF88*BD100</f>
        <v>1.0000000000000002</v>
      </c>
      <c r="J109" s="92">
        <f>BM88*BJ100</f>
        <v>0.99999999999999978</v>
      </c>
      <c r="K109" s="92">
        <f>BU88*BR100</f>
        <v>1.9999999999999998</v>
      </c>
      <c r="L109" s="93">
        <f>CC88*BZ100</f>
        <v>2</v>
      </c>
      <c r="O109" s="106" t="s">
        <v>45</v>
      </c>
      <c r="P109" s="138">
        <f>C108/$C$112*100</f>
        <v>60</v>
      </c>
      <c r="Q109" s="138">
        <f>C109/$C$112*100</f>
        <v>29.523809523809526</v>
      </c>
      <c r="R109" s="138">
        <f>C110/$C$112*100</f>
        <v>10.476190476190476</v>
      </c>
      <c r="S109" s="134"/>
      <c r="T109" s="97">
        <f>SUM(P109:S109)</f>
        <v>100</v>
      </c>
      <c r="Y109" s="97"/>
      <c r="AA109" s="97"/>
      <c r="AB109" s="97"/>
      <c r="AC109" s="97"/>
      <c r="AG109" s="97"/>
      <c r="AH109" s="97"/>
      <c r="AI109" s="97"/>
      <c r="AJ109" s="97"/>
      <c r="AN109" s="97"/>
      <c r="AO109" s="97"/>
      <c r="AP109" s="97"/>
      <c r="AQ109" s="97"/>
      <c r="AU109" s="97"/>
      <c r="AV109" s="97"/>
      <c r="AW109" s="97"/>
      <c r="BC109" s="97"/>
    </row>
    <row r="110" spans="1:86" s="83" customFormat="1" x14ac:dyDescent="0.25">
      <c r="A110" s="121" t="s">
        <v>51</v>
      </c>
      <c r="B110" s="94"/>
      <c r="C110" s="92">
        <f>U88*Q100</f>
        <v>5.5</v>
      </c>
      <c r="D110" s="91"/>
      <c r="E110" s="92"/>
      <c r="F110" s="97">
        <f>AK88*AG100</f>
        <v>2</v>
      </c>
      <c r="G110" s="92">
        <f>AR88*AN100</f>
        <v>1.9999999999999998</v>
      </c>
      <c r="H110" s="92">
        <f>AY88*AU100</f>
        <v>1.2499999999999998</v>
      </c>
      <c r="I110" s="92">
        <f>BG88*BB100</f>
        <v>2.0000000000000004</v>
      </c>
      <c r="J110" s="92">
        <f>BN88*BJ100</f>
        <v>1.4999999999999996</v>
      </c>
      <c r="K110" s="92">
        <f>BV88*BR100</f>
        <v>1.75</v>
      </c>
      <c r="L110" s="93">
        <f>CD88*BZ100</f>
        <v>2</v>
      </c>
      <c r="O110" s="108" t="s">
        <v>46</v>
      </c>
      <c r="P110" s="139">
        <f>L115/L119*100</f>
        <v>67.418546365914793</v>
      </c>
      <c r="Q110" s="139">
        <f>L116/L119*100</f>
        <v>14.035087719298245</v>
      </c>
      <c r="R110" s="139">
        <f>L117/L119*100</f>
        <v>12.531328320802004</v>
      </c>
      <c r="S110" s="118">
        <f>L118/L119*100</f>
        <v>6.0150375939849612</v>
      </c>
      <c r="T110" s="97">
        <f t="shared" ref="T110:T111" si="141">SUM(P110:S110)</f>
        <v>100</v>
      </c>
      <c r="Y110" s="97"/>
      <c r="AA110" s="97"/>
      <c r="AB110" s="97"/>
      <c r="AC110" s="97"/>
      <c r="AG110" s="97"/>
      <c r="AH110" s="97"/>
      <c r="AI110" s="97"/>
      <c r="AJ110" s="97"/>
      <c r="AN110" s="97"/>
      <c r="AO110" s="97"/>
      <c r="AP110" s="97"/>
      <c r="AQ110" s="97"/>
      <c r="AU110" s="97"/>
      <c r="AV110" s="97"/>
      <c r="AW110" s="97"/>
      <c r="BC110" s="97"/>
    </row>
    <row r="111" spans="1:86" s="83" customFormat="1" x14ac:dyDescent="0.25">
      <c r="A111" s="128" t="s">
        <v>54</v>
      </c>
      <c r="B111" s="130"/>
      <c r="C111" s="140"/>
      <c r="D111" s="141"/>
      <c r="E111" s="117"/>
      <c r="F111" s="117"/>
      <c r="G111" s="117"/>
      <c r="H111" s="100"/>
      <c r="I111" s="100"/>
      <c r="J111" s="117">
        <f>BO88*BJ100</f>
        <v>2.9999999999999991</v>
      </c>
      <c r="K111" s="117">
        <f>BW88*BR100</f>
        <v>1.9999999999999998</v>
      </c>
      <c r="L111" s="118">
        <f>CE88*BZ100</f>
        <v>1</v>
      </c>
      <c r="O111" s="108" t="s">
        <v>66</v>
      </c>
      <c r="P111" s="139">
        <f>(C115+L115)/(C119+L119)*100</f>
        <v>64.860426929392446</v>
      </c>
      <c r="Q111" s="139">
        <f>(C116+L116)/(C119+L119)*100</f>
        <v>19.376026272577999</v>
      </c>
      <c r="R111" s="139">
        <f>(C117+L117)/(C119+L119)*100</f>
        <v>11.822660098522167</v>
      </c>
      <c r="S111" s="118">
        <f>(C118+L118)/(C119+L119)*100</f>
        <v>3.9408866995073883</v>
      </c>
      <c r="T111" s="97">
        <f t="shared" si="141"/>
        <v>100</v>
      </c>
      <c r="Y111" s="97"/>
      <c r="AA111" s="97"/>
      <c r="AB111" s="97"/>
      <c r="AC111" s="97"/>
      <c r="AG111" s="97"/>
      <c r="AH111" s="97"/>
      <c r="AI111" s="97"/>
      <c r="AJ111" s="97"/>
      <c r="AN111" s="97"/>
      <c r="AO111" s="97"/>
      <c r="AP111" s="97"/>
      <c r="AQ111" s="97"/>
      <c r="AU111" s="97"/>
      <c r="AV111" s="97"/>
      <c r="AW111" s="97"/>
      <c r="BC111" s="97"/>
    </row>
    <row r="112" spans="1:86" s="83" customFormat="1" x14ac:dyDescent="0.25">
      <c r="A112" s="142" t="s">
        <v>67</v>
      </c>
      <c r="B112" s="143"/>
      <c r="C112" s="144">
        <f>SUM(C108:C111)</f>
        <v>52.5</v>
      </c>
      <c r="D112" s="145"/>
      <c r="E112" s="144">
        <f t="shared" ref="E112:L112" si="142">SUM(E108:E111)</f>
        <v>11.249999999999998</v>
      </c>
      <c r="F112" s="144">
        <f t="shared" si="142"/>
        <v>11.5</v>
      </c>
      <c r="G112" s="144">
        <f t="shared" si="142"/>
        <v>13.5</v>
      </c>
      <c r="H112" s="144">
        <f t="shared" si="142"/>
        <v>11.249999999999998</v>
      </c>
      <c r="I112" s="144">
        <f t="shared" si="142"/>
        <v>11.000000000000002</v>
      </c>
      <c r="J112" s="144">
        <f t="shared" si="142"/>
        <v>14.499999999999996</v>
      </c>
      <c r="K112" s="144">
        <f t="shared" si="142"/>
        <v>13.749999999999998</v>
      </c>
      <c r="L112" s="146">
        <f t="shared" si="142"/>
        <v>13</v>
      </c>
      <c r="M112" s="129"/>
      <c r="O112" s="97"/>
      <c r="Q112" s="97"/>
      <c r="R112" s="97"/>
      <c r="S112" s="97"/>
      <c r="T112" s="97"/>
      <c r="Y112" s="97"/>
      <c r="AA112" s="97"/>
      <c r="AB112" s="97"/>
      <c r="AC112" s="97"/>
      <c r="AG112" s="97"/>
      <c r="AH112" s="97"/>
      <c r="AI112" s="97"/>
      <c r="AJ112" s="97"/>
      <c r="AN112" s="97"/>
      <c r="AO112" s="97"/>
      <c r="AP112" s="97"/>
      <c r="AQ112" s="97"/>
      <c r="AU112" s="97"/>
      <c r="AV112" s="97"/>
      <c r="AW112" s="97"/>
      <c r="BC112" s="97"/>
    </row>
    <row r="113" spans="1:48" s="83" customFormat="1" x14ac:dyDescent="0.25">
      <c r="A113" s="147"/>
      <c r="B113" s="94"/>
      <c r="D113" s="94"/>
      <c r="E113" s="97"/>
      <c r="G113" s="97"/>
      <c r="H113" s="97"/>
      <c r="I113" s="97"/>
      <c r="J113" s="97"/>
      <c r="L113" s="96"/>
      <c r="O113" s="97"/>
      <c r="Q113" s="97"/>
      <c r="R113" s="97"/>
      <c r="S113" s="97"/>
      <c r="W113" s="97"/>
      <c r="X113" s="97"/>
      <c r="Y113" s="97"/>
      <c r="Z113" s="97"/>
      <c r="AD113" s="97"/>
      <c r="AE113" s="97"/>
      <c r="AF113" s="97"/>
      <c r="AG113" s="97"/>
      <c r="AK113" s="97"/>
      <c r="AL113" s="97"/>
      <c r="AM113" s="97"/>
      <c r="AS113" s="97"/>
    </row>
    <row r="114" spans="1:48" s="83" customFormat="1" x14ac:dyDescent="0.25">
      <c r="A114" s="112" t="s">
        <v>44</v>
      </c>
      <c r="B114" s="91"/>
      <c r="C114" s="92"/>
      <c r="D114" s="91"/>
      <c r="E114" s="92"/>
      <c r="F114" s="92"/>
      <c r="G114" s="92"/>
      <c r="H114" s="92"/>
      <c r="I114" s="92"/>
      <c r="J114" s="92"/>
      <c r="K114" s="92"/>
      <c r="L114" s="93"/>
      <c r="M114" s="92"/>
      <c r="O114" s="97"/>
      <c r="P114" s="84"/>
      <c r="Q114" s="97"/>
      <c r="R114" s="97"/>
      <c r="S114" s="97"/>
      <c r="W114" s="97"/>
      <c r="X114" s="97"/>
      <c r="Y114" s="97"/>
      <c r="Z114" s="97"/>
      <c r="AD114" s="97"/>
      <c r="AE114" s="97"/>
      <c r="AF114" s="97"/>
      <c r="AG114" s="97"/>
      <c r="AK114" s="97"/>
      <c r="AL114" s="97"/>
      <c r="AM114" s="97"/>
      <c r="AS114" s="97"/>
    </row>
    <row r="115" spans="1:48" s="83" customFormat="1" x14ac:dyDescent="0.25">
      <c r="A115" s="154" t="s">
        <v>65</v>
      </c>
      <c r="B115" s="133"/>
      <c r="C115" s="148">
        <f>C108</f>
        <v>31.5</v>
      </c>
      <c r="D115" s="149"/>
      <c r="E115" s="132">
        <f>E108</f>
        <v>9.2499999999999982</v>
      </c>
      <c r="F115" s="132">
        <f t="shared" ref="F115:L117" si="143">E115+F108</f>
        <v>16.75</v>
      </c>
      <c r="G115" s="132">
        <f t="shared" si="143"/>
        <v>26.25</v>
      </c>
      <c r="H115" s="132">
        <f t="shared" si="143"/>
        <v>34.25</v>
      </c>
      <c r="I115" s="132">
        <f t="shared" si="143"/>
        <v>42.25</v>
      </c>
      <c r="J115" s="132">
        <f t="shared" si="143"/>
        <v>51.25</v>
      </c>
      <c r="K115" s="132">
        <f t="shared" si="143"/>
        <v>59.25</v>
      </c>
      <c r="L115" s="134">
        <f t="shared" si="143"/>
        <v>67.25</v>
      </c>
      <c r="M115" s="92"/>
      <c r="O115" s="97"/>
      <c r="Q115" s="97"/>
      <c r="R115" s="97"/>
      <c r="S115" s="97"/>
      <c r="W115" s="97"/>
      <c r="X115" s="97"/>
      <c r="Y115" s="97"/>
      <c r="Z115" s="97"/>
      <c r="AD115" s="97"/>
      <c r="AE115" s="97"/>
      <c r="AF115" s="97"/>
      <c r="AG115" s="97"/>
      <c r="AK115" s="97"/>
      <c r="AL115" s="97"/>
      <c r="AM115" s="97"/>
      <c r="AS115" s="97"/>
    </row>
    <row r="116" spans="1:48" s="83" customFormat="1" x14ac:dyDescent="0.25">
      <c r="A116" s="121" t="s">
        <v>50</v>
      </c>
      <c r="B116" s="91"/>
      <c r="C116" s="129">
        <f>C109</f>
        <v>15.5</v>
      </c>
      <c r="D116" s="150"/>
      <c r="E116" s="92">
        <f>E109</f>
        <v>2</v>
      </c>
      <c r="F116" s="92">
        <f t="shared" si="143"/>
        <v>4</v>
      </c>
      <c r="G116" s="92">
        <f t="shared" si="143"/>
        <v>6</v>
      </c>
      <c r="H116" s="92">
        <f t="shared" si="143"/>
        <v>8</v>
      </c>
      <c r="I116" s="92">
        <f t="shared" si="143"/>
        <v>9</v>
      </c>
      <c r="J116" s="92">
        <f t="shared" si="143"/>
        <v>10</v>
      </c>
      <c r="K116" s="92">
        <f t="shared" si="143"/>
        <v>12</v>
      </c>
      <c r="L116" s="93">
        <f t="shared" si="143"/>
        <v>14</v>
      </c>
      <c r="M116" s="92"/>
      <c r="O116" s="97"/>
      <c r="Q116" s="97"/>
      <c r="R116" s="97"/>
      <c r="S116" s="97"/>
      <c r="W116" s="97"/>
      <c r="X116" s="97"/>
      <c r="Y116" s="97"/>
      <c r="Z116" s="97"/>
      <c r="AD116" s="97"/>
      <c r="AE116" s="97"/>
      <c r="AF116" s="97"/>
      <c r="AG116" s="97"/>
      <c r="AK116" s="97"/>
      <c r="AL116" s="97"/>
      <c r="AM116" s="97"/>
      <c r="AS116" s="97"/>
    </row>
    <row r="117" spans="1:48" s="83" customFormat="1" x14ac:dyDescent="0.25">
      <c r="A117" s="121" t="s">
        <v>51</v>
      </c>
      <c r="B117" s="91"/>
      <c r="C117" s="129">
        <f>C110</f>
        <v>5.5</v>
      </c>
      <c r="D117" s="150"/>
      <c r="E117" s="129"/>
      <c r="F117" s="92">
        <f t="shared" si="143"/>
        <v>2</v>
      </c>
      <c r="G117" s="92">
        <f t="shared" si="143"/>
        <v>4</v>
      </c>
      <c r="H117" s="92">
        <f t="shared" si="143"/>
        <v>5.25</v>
      </c>
      <c r="I117" s="92">
        <f t="shared" si="143"/>
        <v>7.25</v>
      </c>
      <c r="J117" s="92">
        <f t="shared" si="143"/>
        <v>8.75</v>
      </c>
      <c r="K117" s="92">
        <f t="shared" si="143"/>
        <v>10.5</v>
      </c>
      <c r="L117" s="93">
        <f t="shared" si="143"/>
        <v>12.5</v>
      </c>
      <c r="M117" s="92"/>
      <c r="O117" s="97"/>
      <c r="Q117" s="97"/>
      <c r="R117" s="97"/>
      <c r="S117" s="97"/>
      <c r="W117" s="97"/>
      <c r="X117" s="97"/>
      <c r="Y117" s="97"/>
      <c r="Z117" s="97"/>
      <c r="AD117" s="97"/>
      <c r="AE117" s="97"/>
      <c r="AF117" s="97"/>
      <c r="AG117" s="97"/>
      <c r="AK117" s="97"/>
      <c r="AL117" s="97"/>
      <c r="AM117" s="97"/>
      <c r="AS117" s="97"/>
    </row>
    <row r="118" spans="1:48" s="83" customFormat="1" x14ac:dyDescent="0.25">
      <c r="A118" s="128" t="s">
        <v>54</v>
      </c>
      <c r="B118" s="130"/>
      <c r="C118" s="117"/>
      <c r="D118" s="130"/>
      <c r="E118" s="151"/>
      <c r="F118" s="151"/>
      <c r="G118" s="151"/>
      <c r="H118" s="151"/>
      <c r="I118" s="151"/>
      <c r="J118" s="117">
        <f>I118+J111</f>
        <v>2.9999999999999991</v>
      </c>
      <c r="K118" s="117">
        <f>J118+K111</f>
        <v>4.9999999999999991</v>
      </c>
      <c r="L118" s="118">
        <f>K118+L111</f>
        <v>5.9999999999999991</v>
      </c>
      <c r="M118" s="92"/>
      <c r="O118" s="97"/>
      <c r="Q118" s="97"/>
      <c r="R118" s="97"/>
      <c r="S118" s="97"/>
      <c r="W118" s="97"/>
      <c r="X118" s="97"/>
      <c r="Y118" s="97"/>
      <c r="Z118" s="97"/>
      <c r="AD118" s="97"/>
      <c r="AE118" s="97"/>
      <c r="AF118" s="97"/>
      <c r="AG118" s="97"/>
      <c r="AK118" s="97"/>
      <c r="AL118" s="97"/>
      <c r="AM118" s="97"/>
      <c r="AS118" s="97"/>
    </row>
    <row r="119" spans="1:48" s="83" customFormat="1" x14ac:dyDescent="0.25">
      <c r="A119" s="155" t="s">
        <v>67</v>
      </c>
      <c r="B119" s="145">
        <v>0</v>
      </c>
      <c r="C119" s="114">
        <f>SUM(C115:C118)</f>
        <v>52.5</v>
      </c>
      <c r="D119" s="145">
        <v>0</v>
      </c>
      <c r="E119" s="114">
        <f t="shared" ref="E119:L119" si="144">SUM(E115:E118)</f>
        <v>11.249999999999998</v>
      </c>
      <c r="F119" s="114">
        <f t="shared" si="144"/>
        <v>22.75</v>
      </c>
      <c r="G119" s="114">
        <f t="shared" si="144"/>
        <v>36.25</v>
      </c>
      <c r="H119" s="114">
        <f t="shared" si="144"/>
        <v>47.5</v>
      </c>
      <c r="I119" s="114">
        <f t="shared" si="144"/>
        <v>58.5</v>
      </c>
      <c r="J119" s="114">
        <f t="shared" si="144"/>
        <v>73</v>
      </c>
      <c r="K119" s="114">
        <f t="shared" si="144"/>
        <v>86.75</v>
      </c>
      <c r="L119" s="115">
        <f t="shared" si="144"/>
        <v>99.75</v>
      </c>
      <c r="M119" s="129"/>
      <c r="O119" s="97"/>
      <c r="Q119" s="97"/>
      <c r="R119" s="97"/>
      <c r="S119" s="97"/>
      <c r="W119" s="97"/>
      <c r="X119" s="97"/>
      <c r="Y119" s="97"/>
      <c r="Z119" s="97"/>
      <c r="AD119" s="97"/>
      <c r="AE119" s="97"/>
      <c r="AF119" s="97"/>
      <c r="AG119" s="97"/>
      <c r="AK119" s="97"/>
      <c r="AL119" s="97"/>
      <c r="AM119" s="97"/>
      <c r="AS119" s="97"/>
    </row>
    <row r="120" spans="1:48" s="83" customFormat="1" x14ac:dyDescent="0.25">
      <c r="H120" s="97"/>
      <c r="J120" s="97"/>
      <c r="K120" s="97"/>
      <c r="L120" s="97"/>
      <c r="M120" s="97"/>
      <c r="R120" s="97"/>
      <c r="T120" s="97"/>
      <c r="U120" s="97"/>
      <c r="V120" s="97"/>
      <c r="Z120" s="97"/>
      <c r="AA120" s="97"/>
      <c r="AB120" s="97"/>
      <c r="AC120" s="97"/>
      <c r="AG120" s="97"/>
      <c r="AH120" s="97"/>
      <c r="AI120" s="97"/>
      <c r="AJ120" s="97"/>
      <c r="AN120" s="97"/>
      <c r="AO120" s="97"/>
      <c r="AP120" s="97"/>
      <c r="AV120" s="97"/>
    </row>
    <row r="121" spans="1:48" s="83" customFormat="1" x14ac:dyDescent="0.25">
      <c r="H121" s="97"/>
      <c r="J121" s="97"/>
      <c r="K121" s="97"/>
      <c r="L121" s="97"/>
      <c r="M121" s="97"/>
      <c r="R121" s="97"/>
      <c r="T121" s="97"/>
      <c r="U121" s="97"/>
      <c r="V121" s="97"/>
      <c r="Z121" s="97"/>
      <c r="AA121" s="97"/>
      <c r="AB121" s="97"/>
      <c r="AC121" s="97"/>
      <c r="AG121" s="97"/>
      <c r="AH121" s="97"/>
      <c r="AI121" s="97"/>
      <c r="AJ121" s="97"/>
      <c r="AN121" s="97"/>
      <c r="AO121" s="97"/>
      <c r="AP121" s="97"/>
      <c r="AV121" s="97"/>
    </row>
    <row r="122" spans="1:48" s="83" customFormat="1" ht="15.75" x14ac:dyDescent="0.25">
      <c r="A122" s="168" t="s">
        <v>123</v>
      </c>
      <c r="C122" s="97"/>
      <c r="G122" s="84"/>
    </row>
    <row r="123" spans="1:48" s="83" customFormat="1" x14ac:dyDescent="0.25">
      <c r="C123" s="97"/>
      <c r="G123" s="84"/>
    </row>
    <row r="124" spans="1:48" s="83" customFormat="1" ht="15.75" x14ac:dyDescent="0.25">
      <c r="A124" s="169" t="s">
        <v>68</v>
      </c>
      <c r="B124" s="97"/>
      <c r="C124" s="97"/>
      <c r="D124" s="97"/>
      <c r="E124" s="97"/>
      <c r="G124" s="84"/>
    </row>
    <row r="125" spans="1:48" s="83" customFormat="1" x14ac:dyDescent="0.25">
      <c r="A125" s="45"/>
      <c r="B125" s="97"/>
      <c r="C125" s="97"/>
      <c r="D125" s="97"/>
      <c r="E125" s="97"/>
      <c r="G125" s="84"/>
    </row>
    <row r="126" spans="1:48" s="83" customFormat="1" ht="15.75" x14ac:dyDescent="0.25">
      <c r="A126" s="162" t="s">
        <v>135</v>
      </c>
      <c r="C126" s="97"/>
      <c r="G126" s="84"/>
    </row>
    <row r="127" spans="1:48" s="83" customFormat="1" x14ac:dyDescent="0.25">
      <c r="A127" s="46"/>
      <c r="B127" s="97"/>
      <c r="C127" s="47" t="s">
        <v>65</v>
      </c>
      <c r="D127" s="48" t="s">
        <v>50</v>
      </c>
      <c r="E127" s="48" t="s">
        <v>51</v>
      </c>
      <c r="F127" s="47" t="s">
        <v>54</v>
      </c>
      <c r="G127" s="48" t="s">
        <v>67</v>
      </c>
    </row>
    <row r="128" spans="1:48" s="83" customFormat="1" x14ac:dyDescent="0.25">
      <c r="A128" s="156"/>
      <c r="B128" s="49" t="s">
        <v>45</v>
      </c>
      <c r="C128" s="157">
        <f t="shared" ref="C128:E129" si="145">P68/100</f>
        <v>0.6</v>
      </c>
      <c r="D128" s="157">
        <f t="shared" si="145"/>
        <v>0.29523809523809524</v>
      </c>
      <c r="E128" s="157">
        <f t="shared" si="145"/>
        <v>0.10476190476190476</v>
      </c>
      <c r="F128" s="157">
        <v>0</v>
      </c>
      <c r="G128" s="97">
        <f>SUM(C128:E128)</f>
        <v>0.99999999999999989</v>
      </c>
    </row>
    <row r="129" spans="1:8" s="83" customFormat="1" x14ac:dyDescent="0.25">
      <c r="A129" s="156"/>
      <c r="B129" s="49" t="s">
        <v>46</v>
      </c>
      <c r="C129" s="157">
        <f t="shared" si="145"/>
        <v>0.69035532994923854</v>
      </c>
      <c r="D129" s="157">
        <f t="shared" si="145"/>
        <v>0.14213197969543148</v>
      </c>
      <c r="E129" s="157">
        <f t="shared" si="145"/>
        <v>0.12436548223350256</v>
      </c>
      <c r="F129" s="157">
        <f>S69/100</f>
        <v>4.3147208121827409E-2</v>
      </c>
      <c r="G129" s="97">
        <f>SUM(C129:E129,F129)</f>
        <v>0.99999999999999989</v>
      </c>
    </row>
    <row r="130" spans="1:8" s="83" customFormat="1" x14ac:dyDescent="0.25">
      <c r="A130" s="97"/>
      <c r="B130" s="158"/>
      <c r="C130" s="159" t="s">
        <v>65</v>
      </c>
      <c r="D130" s="160" t="s">
        <v>50</v>
      </c>
      <c r="E130" s="160" t="s">
        <v>51</v>
      </c>
      <c r="F130" s="159" t="s">
        <v>54</v>
      </c>
      <c r="G130" s="97"/>
    </row>
    <row r="131" spans="1:8" s="83" customFormat="1" x14ac:dyDescent="0.25">
      <c r="A131" s="156" t="s">
        <v>69</v>
      </c>
      <c r="B131" s="50" t="s">
        <v>70</v>
      </c>
      <c r="C131" s="51">
        <v>3.5999999999999997E-2</v>
      </c>
      <c r="D131" s="51">
        <v>0</v>
      </c>
      <c r="E131" s="51">
        <v>0.42</v>
      </c>
      <c r="F131" s="51">
        <v>3.4000000000000002E-2</v>
      </c>
      <c r="G131" s="97"/>
    </row>
    <row r="132" spans="1:8" s="83" customFormat="1" x14ac:dyDescent="0.25">
      <c r="A132" s="156" t="s">
        <v>71</v>
      </c>
      <c r="B132" s="50" t="s">
        <v>72</v>
      </c>
      <c r="C132" s="51">
        <v>3.9E-2</v>
      </c>
      <c r="D132" s="51">
        <v>0</v>
      </c>
      <c r="E132" s="51">
        <v>3.5999999999999997E-2</v>
      </c>
      <c r="F132" s="51">
        <v>4.8000000000000001E-2</v>
      </c>
      <c r="G132" s="97"/>
    </row>
    <row r="133" spans="1:8" s="83" customFormat="1" x14ac:dyDescent="0.25">
      <c r="A133" s="156" t="s">
        <v>73</v>
      </c>
      <c r="B133" s="50" t="s">
        <v>74</v>
      </c>
      <c r="C133" s="51">
        <v>2.8000000000000001E-2</v>
      </c>
      <c r="D133" s="51">
        <v>0</v>
      </c>
      <c r="E133" s="51">
        <v>0.86</v>
      </c>
      <c r="F133" s="51">
        <v>0.12</v>
      </c>
      <c r="G133" s="97"/>
    </row>
    <row r="134" spans="1:8" s="83" customFormat="1" x14ac:dyDescent="0.25">
      <c r="A134" s="156"/>
      <c r="B134" s="50" t="s">
        <v>75</v>
      </c>
      <c r="C134" s="51">
        <v>3.9E-2</v>
      </c>
      <c r="D134" s="51">
        <v>0</v>
      </c>
      <c r="E134" s="51">
        <v>1.54</v>
      </c>
      <c r="F134" s="51">
        <v>0.2</v>
      </c>
      <c r="G134" s="48"/>
    </row>
    <row r="135" spans="1:8" s="83" customFormat="1" x14ac:dyDescent="0.25">
      <c r="A135" s="156"/>
      <c r="F135" s="84"/>
      <c r="G135" s="97"/>
    </row>
    <row r="136" spans="1:8" s="83" customFormat="1" x14ac:dyDescent="0.25">
      <c r="F136" s="84"/>
    </row>
    <row r="137" spans="1:8" s="83" customFormat="1" x14ac:dyDescent="0.25">
      <c r="B137" s="48"/>
      <c r="C137" s="48" t="s">
        <v>45</v>
      </c>
      <c r="D137" s="48" t="s">
        <v>46</v>
      </c>
      <c r="E137" s="48"/>
      <c r="F137" s="47"/>
    </row>
    <row r="138" spans="1:8" s="83" customFormat="1" x14ac:dyDescent="0.25">
      <c r="A138" s="156" t="s">
        <v>76</v>
      </c>
      <c r="B138" s="52" t="s">
        <v>70</v>
      </c>
      <c r="C138" s="157">
        <f>(C129*C131)+(D129*D131)+(E129*E131)+(F129*F131)</f>
        <v>7.8553299492385792E-2</v>
      </c>
      <c r="D138" s="157">
        <f>($C$128*C131)+($D$128*D131)+($E$128*E131)</f>
        <v>6.5599999999999992E-2</v>
      </c>
      <c r="E138" s="97"/>
      <c r="F138" s="84"/>
      <c r="G138" s="97"/>
    </row>
    <row r="139" spans="1:8" s="83" customFormat="1" x14ac:dyDescent="0.25">
      <c r="A139" s="156" t="s">
        <v>71</v>
      </c>
      <c r="B139" s="52" t="s">
        <v>72</v>
      </c>
      <c r="C139" s="157">
        <f>($C$129*C132)+($D$129*D132)+($E$129*E132)+($F$129*F132)</f>
        <v>3.3472081218274108E-2</v>
      </c>
      <c r="D139" s="157">
        <f>($C$128*C132)+($D$128*D132)+($E$128*E132)</f>
        <v>2.7171428571428572E-2</v>
      </c>
      <c r="E139" s="97"/>
      <c r="F139" s="84"/>
      <c r="G139" s="97"/>
    </row>
    <row r="140" spans="1:8" s="83" customFormat="1" x14ac:dyDescent="0.25">
      <c r="A140" s="156" t="s">
        <v>73</v>
      </c>
      <c r="B140" s="52" t="s">
        <v>74</v>
      </c>
      <c r="C140" s="157">
        <f>$C$129*C133+$D$129*D133+$E$129*E133+$F$129*F133</f>
        <v>0.13146192893401018</v>
      </c>
      <c r="D140" s="157">
        <f>($C$128*C133)+($D$128*D133)+($E$128*E133)</f>
        <v>0.10689523809523808</v>
      </c>
      <c r="E140" s="97"/>
      <c r="F140" s="84"/>
      <c r="G140" s="97"/>
    </row>
    <row r="141" spans="1:8" s="83" customFormat="1" x14ac:dyDescent="0.25">
      <c r="A141" s="156"/>
      <c r="B141" s="52" t="s">
        <v>75</v>
      </c>
      <c r="C141" s="157">
        <f>$C$129*C134+$D$129*D134+$E$129*E134+$F$129*F134</f>
        <v>0.22707614213197977</v>
      </c>
      <c r="D141" s="157">
        <f>($C$128*C134)+($D$128*D134)+($E$128*E134)</f>
        <v>0.18473333333333333</v>
      </c>
      <c r="E141" s="97"/>
      <c r="F141" s="84"/>
      <c r="G141" s="97"/>
    </row>
    <row r="142" spans="1:8" s="83" customFormat="1" x14ac:dyDescent="0.25">
      <c r="C142" s="97"/>
      <c r="F142" s="97"/>
      <c r="G142" s="84"/>
      <c r="H142" s="97"/>
    </row>
    <row r="143" spans="1:8" s="83" customFormat="1" ht="15.75" x14ac:dyDescent="0.25">
      <c r="A143" s="169" t="s">
        <v>77</v>
      </c>
      <c r="C143" s="97"/>
      <c r="E143" s="97"/>
      <c r="F143" s="97"/>
      <c r="G143" s="84"/>
      <c r="H143" s="97"/>
    </row>
    <row r="144" spans="1:8" s="83" customFormat="1" x14ac:dyDescent="0.25">
      <c r="A144" s="45"/>
      <c r="C144" s="97"/>
      <c r="E144" s="97"/>
      <c r="F144" s="97"/>
      <c r="G144" s="84"/>
      <c r="H144" s="97"/>
    </row>
    <row r="145" spans="2:22" s="83" customFormat="1" ht="17.25" x14ac:dyDescent="0.25">
      <c r="B145" s="84" t="s">
        <v>130</v>
      </c>
      <c r="C145" s="97"/>
      <c r="E145" s="84"/>
      <c r="F145" s="97"/>
      <c r="G145" s="84"/>
      <c r="H145" s="97"/>
    </row>
    <row r="146" spans="2:22" s="83" customFormat="1" x14ac:dyDescent="0.25">
      <c r="B146" s="84" t="s">
        <v>78</v>
      </c>
      <c r="D146" s="97"/>
      <c r="E146" s="97"/>
      <c r="F146" s="84"/>
      <c r="G146" s="97"/>
    </row>
    <row r="147" spans="2:22" s="83" customFormat="1" ht="17.25" x14ac:dyDescent="0.25">
      <c r="B147" s="9" t="s">
        <v>79</v>
      </c>
      <c r="C147" s="161">
        <v>1143</v>
      </c>
      <c r="D147" s="83" t="s">
        <v>80</v>
      </c>
      <c r="E147" s="97" t="s">
        <v>81</v>
      </c>
      <c r="F147" s="84" t="s">
        <v>82</v>
      </c>
    </row>
    <row r="148" spans="2:22" s="83" customFormat="1" ht="17.25" x14ac:dyDescent="0.25">
      <c r="B148" s="9" t="s">
        <v>83</v>
      </c>
      <c r="C148" s="161">
        <v>271</v>
      </c>
      <c r="D148" s="83" t="s">
        <v>80</v>
      </c>
      <c r="E148" s="97" t="s">
        <v>84</v>
      </c>
      <c r="F148" s="84" t="s">
        <v>85</v>
      </c>
    </row>
    <row r="149" spans="2:22" s="83" customFormat="1" ht="17.25" x14ac:dyDescent="0.25">
      <c r="B149" s="9" t="s">
        <v>86</v>
      </c>
      <c r="C149" s="161">
        <v>80</v>
      </c>
      <c r="D149" s="53" t="s">
        <v>80</v>
      </c>
      <c r="E149" s="97" t="s">
        <v>87</v>
      </c>
      <c r="F149" s="84" t="s">
        <v>88</v>
      </c>
    </row>
    <row r="150" spans="2:22" s="83" customFormat="1" ht="17.25" x14ac:dyDescent="0.25">
      <c r="B150" s="9" t="s">
        <v>89</v>
      </c>
      <c r="C150" s="161">
        <v>287</v>
      </c>
      <c r="D150" s="53" t="s">
        <v>80</v>
      </c>
      <c r="E150" s="97"/>
      <c r="F150" s="84"/>
      <c r="G150" s="84"/>
    </row>
    <row r="151" spans="2:22" x14ac:dyDescent="0.25">
      <c r="B151" s="9"/>
      <c r="C151" s="76"/>
      <c r="D151" s="53"/>
      <c r="E151" s="3"/>
      <c r="F151" s="4"/>
    </row>
    <row r="152" spans="2:22" ht="18" x14ac:dyDescent="0.35">
      <c r="B152" s="54" t="s">
        <v>131</v>
      </c>
      <c r="C152" s="9"/>
      <c r="E152" s="53"/>
      <c r="F152" s="3"/>
      <c r="H152" s="4"/>
    </row>
    <row r="153" spans="2:22" x14ac:dyDescent="0.25">
      <c r="B153" s="55" t="s">
        <v>45</v>
      </c>
      <c r="C153" s="37"/>
      <c r="D153" s="37"/>
      <c r="E153" s="56"/>
      <c r="F153" s="57" t="s">
        <v>46</v>
      </c>
      <c r="G153" s="37"/>
      <c r="H153" s="58"/>
      <c r="I153" s="58"/>
      <c r="J153" s="58"/>
      <c r="K153" s="58"/>
      <c r="L153" s="58"/>
      <c r="M153" s="58"/>
      <c r="N153" s="58"/>
      <c r="O153" s="59"/>
      <c r="R153" s="48"/>
      <c r="S153" s="48"/>
      <c r="T153" s="48"/>
      <c r="U153" s="48"/>
      <c r="V153" s="48"/>
    </row>
    <row r="154" spans="2:22" x14ac:dyDescent="0.25">
      <c r="B154" s="6" t="s">
        <v>90</v>
      </c>
      <c r="C154" s="11"/>
      <c r="D154" s="11"/>
      <c r="E154" s="12">
        <v>0.52499999999999991</v>
      </c>
      <c r="F154" s="6"/>
      <c r="G154" s="11"/>
      <c r="H154" s="12">
        <v>0.115</v>
      </c>
      <c r="I154" s="12">
        <v>0.23499999999999999</v>
      </c>
      <c r="J154" s="12">
        <v>0.37</v>
      </c>
      <c r="K154" s="12">
        <v>0.48249999999999998</v>
      </c>
      <c r="L154" s="12">
        <v>0.59</v>
      </c>
      <c r="M154" s="12">
        <v>0.72750000000000004</v>
      </c>
      <c r="N154" s="12">
        <v>0.86</v>
      </c>
      <c r="O154" s="60">
        <v>0.98499999999999999</v>
      </c>
      <c r="R154" s="3"/>
      <c r="S154" s="3"/>
      <c r="T154" s="3"/>
      <c r="U154" s="3"/>
      <c r="V154" s="3"/>
    </row>
    <row r="155" spans="2:22" x14ac:dyDescent="0.25">
      <c r="B155" s="61"/>
      <c r="C155" s="3"/>
      <c r="D155" s="3"/>
      <c r="E155" s="3">
        <f>1-E154</f>
        <v>0.47500000000000009</v>
      </c>
      <c r="F155" s="61"/>
      <c r="G155" s="62" t="s">
        <v>91</v>
      </c>
      <c r="H155" s="3">
        <f t="shared" ref="H155:O155" si="146">1-H154</f>
        <v>0.88500000000000001</v>
      </c>
      <c r="I155" s="3">
        <f t="shared" si="146"/>
        <v>0.76500000000000001</v>
      </c>
      <c r="J155" s="3">
        <f t="shared" si="146"/>
        <v>0.63</v>
      </c>
      <c r="K155" s="3">
        <f t="shared" si="146"/>
        <v>0.51750000000000007</v>
      </c>
      <c r="L155" s="3">
        <f t="shared" si="146"/>
        <v>0.41000000000000003</v>
      </c>
      <c r="M155" s="3">
        <f t="shared" si="146"/>
        <v>0.27249999999999996</v>
      </c>
      <c r="N155" s="3">
        <f t="shared" si="146"/>
        <v>0.14000000000000001</v>
      </c>
      <c r="O155" s="10">
        <f t="shared" si="146"/>
        <v>1.5000000000000013E-2</v>
      </c>
      <c r="R155" s="48"/>
      <c r="S155" s="48"/>
      <c r="T155" s="48"/>
      <c r="U155" s="48"/>
      <c r="V155" s="48"/>
    </row>
    <row r="156" spans="2:22" ht="17.25" x14ac:dyDescent="0.25">
      <c r="B156" s="22"/>
      <c r="C156" s="63" t="s">
        <v>92</v>
      </c>
      <c r="D156" s="37" t="s">
        <v>93</v>
      </c>
      <c r="E156" s="37" t="s">
        <v>94</v>
      </c>
      <c r="F156" s="64" t="s">
        <v>92</v>
      </c>
      <c r="G156" s="37" t="s">
        <v>95</v>
      </c>
      <c r="H156" s="37" t="s">
        <v>96</v>
      </c>
      <c r="I156" s="37" t="s">
        <v>97</v>
      </c>
      <c r="J156" s="37" t="s">
        <v>98</v>
      </c>
      <c r="K156" s="37" t="s">
        <v>99</v>
      </c>
      <c r="L156" s="37" t="s">
        <v>100</v>
      </c>
      <c r="M156" s="37" t="s">
        <v>101</v>
      </c>
      <c r="N156" s="37" t="s">
        <v>102</v>
      </c>
      <c r="O156" s="38" t="s">
        <v>103</v>
      </c>
      <c r="R156" s="9"/>
      <c r="S156" s="9"/>
      <c r="T156" s="9"/>
      <c r="U156" s="9"/>
      <c r="V156" s="9"/>
    </row>
    <row r="157" spans="2:22" x14ac:dyDescent="0.25">
      <c r="B157" s="65" t="s">
        <v>104</v>
      </c>
      <c r="C157" s="48">
        <f>C138</f>
        <v>7.8553299492385792E-2</v>
      </c>
      <c r="D157" s="48">
        <f>C147</f>
        <v>1143</v>
      </c>
      <c r="E157" s="66">
        <f>D157/($E$155+C157*(1-$E$155))</f>
        <v>2214.0844031735687</v>
      </c>
      <c r="F157" s="65">
        <f>D138</f>
        <v>6.5599999999999992E-2</v>
      </c>
      <c r="G157" s="66">
        <f>E157</f>
        <v>2214.0844031735687</v>
      </c>
      <c r="H157" s="66">
        <f t="shared" ref="H157:O157" si="147">$G$157/(H155+$F$157*(1-H155))</f>
        <v>2480.6445432085911</v>
      </c>
      <c r="I157" s="66">
        <f t="shared" si="147"/>
        <v>2837.0566507780063</v>
      </c>
      <c r="J157" s="66">
        <f t="shared" si="147"/>
        <v>3384.0427271434032</v>
      </c>
      <c r="K157" s="66">
        <f t="shared" si="147"/>
        <v>4031.8243458524566</v>
      </c>
      <c r="L157" s="66">
        <f t="shared" si="147"/>
        <v>4934.3986306642428</v>
      </c>
      <c r="M157" s="66">
        <f t="shared" si="147"/>
        <v>6914.1738382306421</v>
      </c>
      <c r="N157" s="66">
        <f t="shared" si="147"/>
        <v>11272.423851282832</v>
      </c>
      <c r="O157" s="67">
        <f t="shared" si="147"/>
        <v>27809.540835680877</v>
      </c>
      <c r="R157" s="9"/>
      <c r="S157" s="9"/>
      <c r="T157" s="9"/>
      <c r="U157" s="9"/>
      <c r="V157" s="9"/>
    </row>
    <row r="158" spans="2:22" x14ac:dyDescent="0.25">
      <c r="B158" s="65" t="s">
        <v>105</v>
      </c>
      <c r="C158" s="48">
        <f>C139</f>
        <v>3.3472081218274108E-2</v>
      </c>
      <c r="D158" s="48">
        <f>C148</f>
        <v>271</v>
      </c>
      <c r="E158" s="66">
        <f>D158/($E$155+C158*(1-$E$155))</f>
        <v>550.17243449266948</v>
      </c>
      <c r="F158" s="65">
        <f>D139</f>
        <v>2.7171428571428572E-2</v>
      </c>
      <c r="G158" s="66">
        <f>E158</f>
        <v>550.17243449266948</v>
      </c>
      <c r="H158" s="66">
        <f t="shared" ref="H158:O158" si="148">$G$158/(H155+$F$158*(1-H155))</f>
        <v>619.47655058237262</v>
      </c>
      <c r="I158" s="66">
        <f t="shared" si="148"/>
        <v>713.22650908906303</v>
      </c>
      <c r="J158" s="66">
        <f t="shared" si="148"/>
        <v>859.57266992636926</v>
      </c>
      <c r="K158" s="66">
        <f t="shared" si="148"/>
        <v>1036.867402247974</v>
      </c>
      <c r="L158" s="66">
        <f t="shared" si="148"/>
        <v>1291.3901805463872</v>
      </c>
      <c r="M158" s="66">
        <f t="shared" si="148"/>
        <v>1882.4295288722758</v>
      </c>
      <c r="N158" s="66">
        <f t="shared" si="148"/>
        <v>3367.6996651270633</v>
      </c>
      <c r="O158" s="67">
        <f t="shared" si="148"/>
        <v>13173.410506858922</v>
      </c>
      <c r="R158" s="3"/>
      <c r="S158" s="3"/>
      <c r="T158" s="3"/>
      <c r="U158" s="3"/>
      <c r="V158" s="3"/>
    </row>
    <row r="159" spans="2:22" x14ac:dyDescent="0.25">
      <c r="B159" s="65" t="s">
        <v>106</v>
      </c>
      <c r="C159" s="48">
        <f>C140</f>
        <v>0.13146192893401018</v>
      </c>
      <c r="D159" s="48">
        <f>C149</f>
        <v>80</v>
      </c>
      <c r="E159" s="66">
        <f>D159/($E$155+C159*(1-$E$155))</f>
        <v>147.05408949864909</v>
      </c>
      <c r="F159" s="65">
        <f>D140</f>
        <v>0.10689523809523808</v>
      </c>
      <c r="G159" s="66">
        <f>E159</f>
        <v>147.05408949864909</v>
      </c>
      <c r="H159" s="66">
        <f t="shared" ref="H159:O159" si="149">$G$159/(H155+$F$159*(1-H155))</f>
        <v>163.88637524505617</v>
      </c>
      <c r="I159" s="66">
        <f t="shared" si="149"/>
        <v>186.1160565449479</v>
      </c>
      <c r="J159" s="66">
        <f t="shared" si="149"/>
        <v>219.63082305245752</v>
      </c>
      <c r="K159" s="66">
        <f t="shared" si="149"/>
        <v>258.40809205748309</v>
      </c>
      <c r="L159" s="66">
        <f t="shared" si="149"/>
        <v>310.85178090419566</v>
      </c>
      <c r="M159" s="66">
        <f t="shared" si="149"/>
        <v>419.83512400791557</v>
      </c>
      <c r="N159" s="66">
        <f t="shared" si="149"/>
        <v>634.04540112932943</v>
      </c>
      <c r="O159" s="67">
        <f t="shared" si="149"/>
        <v>1222.4779898214306</v>
      </c>
      <c r="R159" s="3"/>
      <c r="S159" s="3"/>
      <c r="T159" s="3"/>
      <c r="U159" s="3"/>
      <c r="V159" s="3"/>
    </row>
    <row r="160" spans="2:22" x14ac:dyDescent="0.25">
      <c r="B160" s="20" t="s">
        <v>107</v>
      </c>
      <c r="C160" s="16">
        <f>C141</f>
        <v>0.22707614213197977</v>
      </c>
      <c r="D160" s="16">
        <f>C150</f>
        <v>287</v>
      </c>
      <c r="E160" s="68">
        <f>D160/($E$155+C160*(1-$E$155))</f>
        <v>482.99018412297585</v>
      </c>
      <c r="F160" s="20">
        <f>D141</f>
        <v>0.18473333333333333</v>
      </c>
      <c r="G160" s="68">
        <f>E160</f>
        <v>482.99018412297585</v>
      </c>
      <c r="H160" s="68">
        <f t="shared" ref="H160:O160" si="150">$G$160/(H155+$F$160*(1-H155))</f>
        <v>532.95801844790481</v>
      </c>
      <c r="I160" s="68">
        <f t="shared" si="150"/>
        <v>597.45523937203973</v>
      </c>
      <c r="J160" s="68">
        <f t="shared" si="150"/>
        <v>691.61489506663202</v>
      </c>
      <c r="K160" s="68">
        <f t="shared" si="150"/>
        <v>796.18075613923463</v>
      </c>
      <c r="L160" s="68">
        <f t="shared" si="150"/>
        <v>930.63007465033388</v>
      </c>
      <c r="M160" s="68">
        <f t="shared" si="150"/>
        <v>1187.0186771795959</v>
      </c>
      <c r="N160" s="68">
        <f t="shared" si="150"/>
        <v>1616.0508139183141</v>
      </c>
      <c r="O160" s="69">
        <f t="shared" si="150"/>
        <v>2452.1956860938344</v>
      </c>
      <c r="R160" s="9"/>
      <c r="S160" s="9"/>
      <c r="T160" s="9"/>
      <c r="U160" s="9"/>
      <c r="V160" s="9"/>
    </row>
    <row r="161" spans="2:23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R161" s="9"/>
      <c r="S161" s="9"/>
      <c r="T161" s="9"/>
      <c r="U161" s="9"/>
      <c r="V161" s="9"/>
    </row>
    <row r="162" spans="2:23" ht="18" x14ac:dyDescent="0.35">
      <c r="B162" s="70" t="s">
        <v>108</v>
      </c>
      <c r="C162" s="48"/>
      <c r="D162" s="3"/>
      <c r="E162" s="3"/>
      <c r="F162" s="48"/>
      <c r="G162" s="3"/>
      <c r="H162" s="3"/>
      <c r="I162" s="3"/>
      <c r="J162" s="3"/>
      <c r="K162" s="3"/>
      <c r="L162" s="3"/>
      <c r="M162" s="3"/>
      <c r="N162" s="3"/>
      <c r="O162" s="3"/>
      <c r="P162" s="53"/>
      <c r="R162" s="3"/>
      <c r="S162" s="3"/>
      <c r="T162" s="4"/>
    </row>
    <row r="163" spans="2:23" x14ac:dyDescent="0.25">
      <c r="B163" s="71" t="s">
        <v>45</v>
      </c>
      <c r="C163" s="72"/>
      <c r="D163" s="72"/>
      <c r="E163" s="72"/>
      <c r="F163" s="73" t="s">
        <v>46</v>
      </c>
      <c r="G163" s="11"/>
      <c r="H163" s="11"/>
      <c r="I163" s="11"/>
      <c r="J163" s="11"/>
      <c r="K163" s="11"/>
      <c r="L163" s="11"/>
      <c r="M163" s="11"/>
      <c r="N163" s="11"/>
      <c r="O163" s="13"/>
      <c r="R163" s="48"/>
      <c r="S163" s="48"/>
      <c r="T163" s="48"/>
      <c r="U163" s="48"/>
      <c r="V163" s="48"/>
      <c r="W163" s="48"/>
    </row>
    <row r="164" spans="2:23" x14ac:dyDescent="0.25">
      <c r="B164" s="6"/>
      <c r="C164" s="12"/>
      <c r="D164" s="11"/>
      <c r="E164" s="11">
        <v>0.52499999999999991</v>
      </c>
      <c r="F164" s="5"/>
      <c r="G164" s="11"/>
      <c r="H164" s="11">
        <v>0.115</v>
      </c>
      <c r="I164" s="11">
        <v>0.23499999999999999</v>
      </c>
      <c r="J164" s="11">
        <v>0.37</v>
      </c>
      <c r="K164" s="11">
        <v>0.48249999999999998</v>
      </c>
      <c r="L164" s="11">
        <v>0.59</v>
      </c>
      <c r="M164" s="11">
        <v>0.72750000000000004</v>
      </c>
      <c r="N164" s="11">
        <v>0.85499999999999998</v>
      </c>
      <c r="O164" s="13">
        <v>0.98499999999999999</v>
      </c>
      <c r="R164" s="3"/>
      <c r="S164" s="3"/>
      <c r="T164" s="3"/>
      <c r="U164" s="3"/>
      <c r="V164" s="3"/>
      <c r="W164" s="3"/>
    </row>
    <row r="165" spans="2:23" x14ac:dyDescent="0.25">
      <c r="B165" s="74"/>
      <c r="C165" s="16"/>
      <c r="D165" s="15" t="s">
        <v>91</v>
      </c>
      <c r="E165" s="16">
        <v>0.47500000000000009</v>
      </c>
      <c r="F165" s="43"/>
      <c r="G165" s="15" t="s">
        <v>109</v>
      </c>
      <c r="H165" s="15">
        <f>1-H164</f>
        <v>0.88500000000000001</v>
      </c>
      <c r="I165" s="15">
        <f t="shared" ref="I165:O165" si="151">1-I164</f>
        <v>0.76500000000000001</v>
      </c>
      <c r="J165" s="15">
        <f t="shared" si="151"/>
        <v>0.63</v>
      </c>
      <c r="K165" s="15">
        <f t="shared" si="151"/>
        <v>0.51750000000000007</v>
      </c>
      <c r="L165" s="15">
        <f t="shared" si="151"/>
        <v>0.41000000000000003</v>
      </c>
      <c r="M165" s="15">
        <f t="shared" si="151"/>
        <v>0.27249999999999996</v>
      </c>
      <c r="N165" s="15">
        <f t="shared" si="151"/>
        <v>0.14500000000000002</v>
      </c>
      <c r="O165" s="17">
        <f t="shared" si="151"/>
        <v>1.5000000000000013E-2</v>
      </c>
      <c r="P165" s="48"/>
      <c r="R165" s="48"/>
      <c r="S165" s="48"/>
      <c r="T165" s="48"/>
      <c r="U165" s="48"/>
      <c r="V165" s="48"/>
    </row>
    <row r="166" spans="2:23" ht="17.25" x14ac:dyDescent="0.25">
      <c r="B166" s="7"/>
      <c r="C166" s="48" t="s">
        <v>92</v>
      </c>
      <c r="D166" s="3" t="s">
        <v>95</v>
      </c>
      <c r="E166" s="3" t="s">
        <v>94</v>
      </c>
      <c r="F166" s="65" t="s">
        <v>92</v>
      </c>
      <c r="G166" s="3" t="s">
        <v>95</v>
      </c>
      <c r="H166" s="3" t="s">
        <v>96</v>
      </c>
      <c r="I166" s="3" t="s">
        <v>97</v>
      </c>
      <c r="J166" s="3" t="s">
        <v>98</v>
      </c>
      <c r="K166" s="3" t="s">
        <v>99</v>
      </c>
      <c r="L166" s="3" t="s">
        <v>100</v>
      </c>
      <c r="M166" s="3" t="s">
        <v>101</v>
      </c>
      <c r="N166" s="3" t="s">
        <v>102</v>
      </c>
      <c r="O166" s="3" t="s">
        <v>103</v>
      </c>
      <c r="P166" s="9"/>
      <c r="R166" s="9"/>
      <c r="S166" s="9"/>
      <c r="T166" s="9"/>
      <c r="U166" s="9"/>
      <c r="V166" s="9"/>
    </row>
    <row r="167" spans="2:23" x14ac:dyDescent="0.25">
      <c r="B167" s="65" t="s">
        <v>104</v>
      </c>
      <c r="C167" s="3">
        <v>0</v>
      </c>
      <c r="D167" s="3">
        <v>1143</v>
      </c>
      <c r="E167" s="48">
        <f>D167/($E$155+$C$167*(1-$E$155))</f>
        <v>2406.3157894736837</v>
      </c>
      <c r="F167" s="7">
        <v>0</v>
      </c>
      <c r="G167" s="34">
        <f>E167</f>
        <v>2406.3157894736837</v>
      </c>
      <c r="H167" s="66">
        <f t="shared" ref="H167:O167" si="152">$G$167/(H165+$F$167*(1-H165))</f>
        <v>2719.0008920606597</v>
      </c>
      <c r="I167" s="66">
        <f t="shared" si="152"/>
        <v>3145.5108359133119</v>
      </c>
      <c r="J167" s="66">
        <f t="shared" si="152"/>
        <v>3819.5488721804504</v>
      </c>
      <c r="K167" s="66">
        <f t="shared" si="152"/>
        <v>4649.8855835240256</v>
      </c>
      <c r="L167" s="66">
        <f t="shared" si="152"/>
        <v>5869.0629011553256</v>
      </c>
      <c r="M167" s="66">
        <f t="shared" si="152"/>
        <v>8830.5166586190244</v>
      </c>
      <c r="N167" s="66">
        <f t="shared" si="152"/>
        <v>16595.281306715056</v>
      </c>
      <c r="O167" s="67">
        <f t="shared" si="152"/>
        <v>160421.05263157876</v>
      </c>
      <c r="P167" s="9"/>
      <c r="R167" s="9"/>
      <c r="S167" s="9"/>
      <c r="T167" s="9"/>
      <c r="U167" s="9"/>
      <c r="V167" s="9"/>
    </row>
    <row r="168" spans="2:23" x14ac:dyDescent="0.25">
      <c r="B168" s="65" t="s">
        <v>105</v>
      </c>
      <c r="C168" s="3">
        <v>0</v>
      </c>
      <c r="D168" s="3">
        <v>271</v>
      </c>
      <c r="E168" s="48">
        <f>D168/($E$155+$C$167*(1-$E$155))</f>
        <v>570.52631578947353</v>
      </c>
      <c r="F168" s="7">
        <v>0</v>
      </c>
      <c r="G168" s="34">
        <f t="shared" ref="G168:G170" si="153">E168</f>
        <v>570.52631578947353</v>
      </c>
      <c r="H168" s="66">
        <f t="shared" ref="H168:O168" si="154">$G$168/(H165+$F$168*(1-H165))</f>
        <v>644.66250371691922</v>
      </c>
      <c r="I168" s="66">
        <f t="shared" si="154"/>
        <v>745.78603371173006</v>
      </c>
      <c r="J168" s="66">
        <f t="shared" si="154"/>
        <v>905.59732664995795</v>
      </c>
      <c r="K168" s="66">
        <f t="shared" si="154"/>
        <v>1102.4663107042966</v>
      </c>
      <c r="L168" s="66">
        <f t="shared" si="154"/>
        <v>1391.5275994865208</v>
      </c>
      <c r="M168" s="66">
        <f t="shared" si="154"/>
        <v>2093.6745533558665</v>
      </c>
      <c r="N168" s="66">
        <f t="shared" si="154"/>
        <v>3934.6642468239547</v>
      </c>
      <c r="O168" s="67">
        <f t="shared" si="154"/>
        <v>38035.087719298201</v>
      </c>
      <c r="P168" s="3"/>
      <c r="R168" s="3"/>
      <c r="S168" s="3"/>
      <c r="T168" s="3"/>
      <c r="U168" s="3"/>
      <c r="V168" s="3"/>
    </row>
    <row r="169" spans="2:23" x14ac:dyDescent="0.25">
      <c r="B169" s="65" t="s">
        <v>106</v>
      </c>
      <c r="C169" s="3">
        <v>0</v>
      </c>
      <c r="D169" s="3">
        <v>80</v>
      </c>
      <c r="E169" s="48">
        <f>D169/($E$155+$C$167*(1-$E$155))</f>
        <v>168.4210526315789</v>
      </c>
      <c r="F169" s="7">
        <v>0</v>
      </c>
      <c r="G169" s="34">
        <f>E169</f>
        <v>168.4210526315789</v>
      </c>
      <c r="H169" s="66">
        <f t="shared" ref="H169:O169" si="155">$G$169/(H165+$F$169*(1-H165))</f>
        <v>190.30627415997617</v>
      </c>
      <c r="I169" s="66">
        <f t="shared" si="155"/>
        <v>220.15823873409008</v>
      </c>
      <c r="J169" s="66">
        <f t="shared" si="155"/>
        <v>267.33500417710934</v>
      </c>
      <c r="K169" s="66">
        <f t="shared" si="155"/>
        <v>325.45130943300268</v>
      </c>
      <c r="L169" s="66">
        <f t="shared" si="155"/>
        <v>410.78305519897287</v>
      </c>
      <c r="M169" s="66">
        <f t="shared" si="155"/>
        <v>618.05890873973919</v>
      </c>
      <c r="N169" s="66">
        <f t="shared" si="155"/>
        <v>1161.5245009074406</v>
      </c>
      <c r="O169" s="67">
        <f t="shared" si="155"/>
        <v>11228.070175438583</v>
      </c>
      <c r="P169" s="3"/>
      <c r="R169" s="3"/>
      <c r="S169" s="3"/>
      <c r="T169" s="3"/>
      <c r="U169" s="3"/>
      <c r="V169" s="3"/>
    </row>
    <row r="170" spans="2:23" x14ac:dyDescent="0.25">
      <c r="B170" s="14" t="s">
        <v>107</v>
      </c>
      <c r="C170" s="15">
        <v>0</v>
      </c>
      <c r="D170" s="15">
        <v>287</v>
      </c>
      <c r="E170" s="16">
        <f>D170/($E$155+$C$167*(1-$E$155))</f>
        <v>604.21052631578937</v>
      </c>
      <c r="F170" s="14">
        <v>0</v>
      </c>
      <c r="G170" s="44">
        <f t="shared" si="153"/>
        <v>604.21052631578937</v>
      </c>
      <c r="H170" s="68">
        <f t="shared" ref="H170:O170" si="156">$G$170/(H165+$F$170*(1-H165))</f>
        <v>682.72375854891447</v>
      </c>
      <c r="I170" s="68">
        <f t="shared" si="156"/>
        <v>789.81768145854812</v>
      </c>
      <c r="J170" s="68">
        <f t="shared" si="156"/>
        <v>959.06432748537998</v>
      </c>
      <c r="K170" s="68">
        <f t="shared" si="156"/>
        <v>1167.5565725908971</v>
      </c>
      <c r="L170" s="68">
        <f t="shared" si="156"/>
        <v>1473.6842105263154</v>
      </c>
      <c r="M170" s="68">
        <f t="shared" si="156"/>
        <v>2217.2863351038145</v>
      </c>
      <c r="N170" s="68">
        <f t="shared" si="156"/>
        <v>4166.9691470054431</v>
      </c>
      <c r="O170" s="69">
        <f t="shared" si="156"/>
        <v>40280.701754385918</v>
      </c>
      <c r="P170" s="9"/>
      <c r="R170" s="9"/>
      <c r="S170" s="9"/>
      <c r="T170" s="9"/>
      <c r="U170" s="9"/>
      <c r="V170" s="9"/>
    </row>
    <row r="171" spans="2:23" x14ac:dyDescent="0.25">
      <c r="F171" s="4"/>
      <c r="G171" s="2"/>
      <c r="Q171" s="75"/>
      <c r="R171" s="9"/>
      <c r="S171" s="9"/>
      <c r="T171" s="9"/>
      <c r="U171" s="9"/>
      <c r="V171" s="9"/>
      <c r="W171" s="9"/>
    </row>
    <row r="172" spans="2:23" x14ac:dyDescent="0.25">
      <c r="R172" s="75"/>
    </row>
    <row r="187" spans="2:8" x14ac:dyDescent="0.25">
      <c r="B187" s="4"/>
      <c r="C187" s="48"/>
      <c r="F187" s="3"/>
      <c r="H18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Kärenlampi</dc:creator>
  <cp:lastModifiedBy>Kuosmanen, Niina I</cp:lastModifiedBy>
  <dcterms:created xsi:type="dcterms:W3CDTF">2015-06-05T18:17:20Z</dcterms:created>
  <dcterms:modified xsi:type="dcterms:W3CDTF">2020-05-29T08:30:43Z</dcterms:modified>
</cp:coreProperties>
</file>