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Ex1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charts/chart3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4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6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Ex2.xml" ContentType="application/vnd.ms-office.chartex+xml"/>
  <Override PartName="/xl/charts/style8.xml" ContentType="application/vnd.ms-office.chartstyle+xml"/>
  <Override PartName="/xl/charts/colors8.xml" ContentType="application/vnd.ms-office.chartcolorstyle+xml"/>
  <Override PartName="/xl/charts/chart7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.xml" ContentType="application/vnd.openxmlformats-officedocument.drawing+xml"/>
  <Override PartName="/xl/charts/chartEx3.xml" ContentType="application/vnd.ms-office.chartex+xml"/>
  <Override PartName="/xl/charts/style10.xml" ContentType="application/vnd.ms-office.chartstyle+xml"/>
  <Override PartName="/xl/charts/colors10.xml" ContentType="application/vnd.ms-office.chartcolorstyle+xml"/>
  <Override PartName="/xl/charts/chartEx4.xml" ContentType="application/vnd.ms-office.chartex+xml"/>
  <Override PartName="/xl/charts/style11.xml" ContentType="application/vnd.ms-office.chartstyle+xml"/>
  <Override PartName="/xl/charts/colors11.xml" ContentType="application/vnd.ms-office.chartcolorstyle+xml"/>
  <Override PartName="/xl/charts/chart8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4.xml" ContentType="application/vnd.openxmlformats-officedocument.drawing+xml"/>
  <Override PartName="/xl/charts/chartEx5.xml" ContentType="application/vnd.ms-office.chartex+xml"/>
  <Override PartName="/xl/charts/style13.xml" ContentType="application/vnd.ms-office.chartstyle+xml"/>
  <Override PartName="/xl/charts/colors13.xml" ContentType="application/vnd.ms-office.chartcolorstyle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defaultThemeVersion="166925"/>
  <xr:revisionPtr revIDLastSave="0" documentId="13_ncr:1_{F6736257-BB79-4CE7-8332-7AD4DCF8BA07}" xr6:coauthVersionLast="47" xr6:coauthVersionMax="47" xr10:uidLastSave="{00000000-0000-0000-0000-000000000000}"/>
  <bookViews>
    <workbookView xWindow="-110" yWindow="-110" windowWidth="19420" windowHeight="10560" xr2:uid="{4FE9A68D-4F0F-4C00-B502-8B52D0D06355}"/>
  </bookViews>
  <sheets>
    <sheet name="Parental magma calculations" sheetId="3" r:id="rId1"/>
    <sheet name="Palojärvi whole-rock samples" sheetId="1" r:id="rId2"/>
    <sheet name="Matokulma whole-rock samples" sheetId="2" r:id="rId3"/>
    <sheet name="Matok. dikes whole-rock samples" sheetId="6" r:id="rId4"/>
    <sheet name="Mineral chemistry" sheetId="5" r:id="rId5"/>
    <sheet name="Quality control" sheetId="4" r:id="rId6"/>
  </sheets>
  <definedNames>
    <definedName name="_xlnm._FilterDatabase" localSheetId="4" hidden="1">'Mineral chemistry'!$A$1:$AA$55</definedName>
    <definedName name="_xlchart.v1.0" hidden="1">'Mineral chemistry'!$AA$47:$AA$55</definedName>
    <definedName name="_xlchart.v1.1" hidden="1">'Mineral chemistry'!$Y$22:$Y$46</definedName>
    <definedName name="_xlchart.v1.10" hidden="1">'Matokulma whole-rock samples'!$S$1:$S$20</definedName>
    <definedName name="_xlchart.v1.11" hidden="1">'Matokulma whole-rock samples'!$T$1</definedName>
    <definedName name="_xlchart.v1.12" hidden="1">'Matokulma whole-rock samples'!$T$1:$T$20</definedName>
    <definedName name="_xlchart.v1.13" hidden="1">'Matokulma whole-rock samples'!$M$1</definedName>
    <definedName name="_xlchart.v1.14" hidden="1">'Matokulma whole-rock samples'!$M$2:$M$20</definedName>
    <definedName name="_xlchart.v1.15" hidden="1">'Matokulma whole-rock samples'!$O$1</definedName>
    <definedName name="_xlchart.v1.16" hidden="1">'Matokulma whole-rock samples'!$O$2:$O$20</definedName>
    <definedName name="_xlchart.v1.17" hidden="1">'Mineral chemistry'!$AA$47:$AA$55</definedName>
    <definedName name="_xlchart.v1.18" hidden="1">'Mineral chemistry'!$Y$22:$Y$46</definedName>
    <definedName name="_xlchart.v1.19" hidden="1">'Mineral chemistry'!$Y$2:$Y$21</definedName>
    <definedName name="_xlchart.v1.2" hidden="1">'Mineral chemistry'!$Y$2:$Y$21</definedName>
    <definedName name="_xlchart.v1.3" hidden="1">'Parental magma calculations'!$D$49:$D$50</definedName>
    <definedName name="_xlchart.v1.4" hidden="1">'Parental magma calculations'!$O$48:$O$48</definedName>
    <definedName name="_xlchart.v1.5" hidden="1">'Palojärvi whole-rock samples'!$K$1</definedName>
    <definedName name="_xlchart.v1.6" hidden="1">'Palojärvi whole-rock samples'!$K$2:$K$35</definedName>
    <definedName name="_xlchart.v1.7" hidden="1">'Palojärvi whole-rock samples'!$L$1</definedName>
    <definedName name="_xlchart.v1.8" hidden="1">'Palojärvi whole-rock samples'!$L$2:$L$35</definedName>
    <definedName name="_xlchart.v1.9" hidden="1">'Matokulma whole-rock samples'!$S$1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2" i="1"/>
  <c r="J2" i="1"/>
  <c r="L2" i="1" s="1"/>
  <c r="M2" i="2"/>
  <c r="L2" i="2"/>
  <c r="K2" i="2"/>
  <c r="J2" i="2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H2" i="6"/>
  <c r="G2" i="6"/>
  <c r="H3" i="6"/>
  <c r="I3" i="6" s="1"/>
  <c r="H4" i="6"/>
  <c r="I4" i="6" s="1"/>
  <c r="H5" i="6"/>
  <c r="I5" i="6" s="1"/>
  <c r="K5" i="6" s="1"/>
  <c r="H6" i="6"/>
  <c r="I6" i="6" s="1"/>
  <c r="H7" i="6"/>
  <c r="I7" i="6" s="1"/>
  <c r="H8" i="6"/>
  <c r="I8" i="6" s="1"/>
  <c r="H9" i="6"/>
  <c r="I9" i="6" s="1"/>
  <c r="H10" i="6"/>
  <c r="I10" i="6" s="1"/>
  <c r="K10" i="6" s="1"/>
  <c r="I2" i="6"/>
  <c r="G3" i="6"/>
  <c r="G4" i="6"/>
  <c r="G5" i="6"/>
  <c r="G6" i="6"/>
  <c r="G7" i="6"/>
  <c r="G8" i="6"/>
  <c r="G9" i="6"/>
  <c r="G10" i="6"/>
  <c r="AE25" i="2"/>
  <c r="O2" i="2" l="1"/>
  <c r="P2" i="2" s="1"/>
  <c r="N2" i="2"/>
  <c r="K4" i="6"/>
  <c r="J4" i="6"/>
  <c r="K9" i="6"/>
  <c r="J9" i="6"/>
  <c r="K6" i="6"/>
  <c r="J6" i="6"/>
  <c r="K2" i="6"/>
  <c r="J2" i="6"/>
  <c r="K3" i="6"/>
  <c r="J3" i="6"/>
  <c r="K8" i="6"/>
  <c r="J8" i="6"/>
  <c r="K7" i="6"/>
  <c r="J7" i="6"/>
  <c r="J10" i="6"/>
  <c r="J5" i="6"/>
  <c r="K12" i="6" l="1"/>
  <c r="J12" i="6"/>
  <c r="X2" i="5" l="1"/>
  <c r="Y2" i="5"/>
  <c r="Z2" i="5"/>
  <c r="G23" i="3"/>
  <c r="G30" i="3"/>
  <c r="AA47" i="5" l="1"/>
  <c r="Z55" i="5"/>
  <c r="AA55" i="5" s="1"/>
  <c r="X55" i="5"/>
  <c r="Z54" i="5"/>
  <c r="AA54" i="5" s="1"/>
  <c r="X54" i="5"/>
  <c r="AA53" i="5"/>
  <c r="Z53" i="5"/>
  <c r="X53" i="5"/>
  <c r="Z52" i="5"/>
  <c r="AA52" i="5" s="1"/>
  <c r="X52" i="5"/>
  <c r="Z51" i="5"/>
  <c r="AA51" i="5" s="1"/>
  <c r="X51" i="5"/>
  <c r="Z50" i="5"/>
  <c r="AA50" i="5" s="1"/>
  <c r="X50" i="5"/>
  <c r="Z49" i="5"/>
  <c r="AA49" i="5" s="1"/>
  <c r="X49" i="5"/>
  <c r="Z48" i="5"/>
  <c r="AA48" i="5" s="1"/>
  <c r="X48" i="5"/>
  <c r="Z47" i="5"/>
  <c r="X47" i="5"/>
  <c r="Z46" i="5"/>
  <c r="X46" i="5"/>
  <c r="Z45" i="5"/>
  <c r="X45" i="5"/>
  <c r="Z44" i="5"/>
  <c r="X44" i="5"/>
  <c r="Z43" i="5"/>
  <c r="X43" i="5"/>
  <c r="Z42" i="5"/>
  <c r="X42" i="5"/>
  <c r="Z41" i="5"/>
  <c r="X41" i="5"/>
  <c r="Z40" i="5"/>
  <c r="X40" i="5"/>
  <c r="Z39" i="5"/>
  <c r="X39" i="5"/>
  <c r="Z38" i="5"/>
  <c r="X38" i="5"/>
  <c r="Z37" i="5"/>
  <c r="X37" i="5"/>
  <c r="Z36" i="5"/>
  <c r="X36" i="5"/>
  <c r="Z35" i="5"/>
  <c r="X35" i="5"/>
  <c r="Z34" i="5"/>
  <c r="X34" i="5"/>
  <c r="Z33" i="5"/>
  <c r="X33" i="5"/>
  <c r="Z32" i="5"/>
  <c r="X32" i="5"/>
  <c r="Z31" i="5"/>
  <c r="X31" i="5"/>
  <c r="Z30" i="5"/>
  <c r="X30" i="5"/>
  <c r="Z29" i="5"/>
  <c r="X29" i="5"/>
  <c r="Z28" i="5"/>
  <c r="X28" i="5"/>
  <c r="Z27" i="5"/>
  <c r="X27" i="5"/>
  <c r="Z26" i="5"/>
  <c r="X26" i="5"/>
  <c r="Z25" i="5"/>
  <c r="X25" i="5"/>
  <c r="Z24" i="5"/>
  <c r="X24" i="5"/>
  <c r="Z23" i="5"/>
  <c r="X23" i="5"/>
  <c r="Z22" i="5"/>
  <c r="X22" i="5"/>
  <c r="Z21" i="5"/>
  <c r="X21" i="5"/>
  <c r="Z20" i="5"/>
  <c r="X20" i="5"/>
  <c r="Z19" i="5"/>
  <c r="X19" i="5"/>
  <c r="Z18" i="5"/>
  <c r="X18" i="5"/>
  <c r="Z17" i="5"/>
  <c r="X17" i="5"/>
  <c r="Z16" i="5"/>
  <c r="X16" i="5"/>
  <c r="Z15" i="5"/>
  <c r="X15" i="5"/>
  <c r="Z14" i="5"/>
  <c r="X14" i="5"/>
  <c r="Z13" i="5"/>
  <c r="X13" i="5"/>
  <c r="Z12" i="5"/>
  <c r="X12" i="5"/>
  <c r="Z11" i="5"/>
  <c r="X11" i="5"/>
  <c r="Z10" i="5"/>
  <c r="X10" i="5"/>
  <c r="Z9" i="5"/>
  <c r="X9" i="5"/>
  <c r="Z8" i="5"/>
  <c r="X8" i="5"/>
  <c r="Z7" i="5"/>
  <c r="X7" i="5"/>
  <c r="Z6" i="5"/>
  <c r="X6" i="5"/>
  <c r="Z5" i="5"/>
  <c r="X5" i="5"/>
  <c r="Z4" i="5"/>
  <c r="X4" i="5"/>
  <c r="Z3" i="5"/>
  <c r="X3" i="5"/>
  <c r="G25" i="4" l="1"/>
  <c r="F25" i="4"/>
  <c r="G29" i="4"/>
  <c r="F29" i="4"/>
  <c r="G28" i="4"/>
  <c r="F28" i="4"/>
  <c r="G27" i="4"/>
  <c r="F27" i="4"/>
  <c r="G26" i="4"/>
  <c r="F26" i="4"/>
  <c r="C6" i="4"/>
  <c r="D7" i="4" s="1"/>
  <c r="D10" i="4"/>
  <c r="R24" i="3"/>
  <c r="N47" i="3"/>
  <c r="N46" i="3"/>
  <c r="N45" i="3"/>
  <c r="C47" i="3"/>
  <c r="C46" i="3"/>
  <c r="C45" i="3"/>
  <c r="S31" i="3"/>
  <c r="R31" i="3"/>
  <c r="P31" i="3"/>
  <c r="R32" i="3" s="1"/>
  <c r="O46" i="3" s="1"/>
  <c r="D32" i="3"/>
  <c r="D31" i="3"/>
  <c r="P24" i="3"/>
  <c r="R25" i="3" s="1"/>
  <c r="P38" i="3"/>
  <c r="R39" i="3" s="1"/>
  <c r="O47" i="3" s="1"/>
  <c r="S38" i="3"/>
  <c r="R38" i="3"/>
  <c r="AL20" i="1"/>
  <c r="AK20" i="1"/>
  <c r="S24" i="3"/>
  <c r="D39" i="3"/>
  <c r="G37" i="3"/>
  <c r="D38" i="3"/>
  <c r="H38" i="3" s="1"/>
  <c r="D25" i="3"/>
  <c r="D24" i="3"/>
  <c r="R27" i="3" l="1"/>
  <c r="Q45" i="3" s="1"/>
  <c r="O45" i="3"/>
  <c r="E31" i="3"/>
  <c r="G31" i="3"/>
  <c r="G24" i="3"/>
  <c r="E24" i="3"/>
  <c r="G25" i="3" s="1"/>
  <c r="G27" i="3" s="1"/>
  <c r="R41" i="3"/>
  <c r="Q47" i="3" s="1"/>
  <c r="R34" i="3"/>
  <c r="Q46" i="3" s="1"/>
  <c r="H31" i="3"/>
  <c r="R40" i="3"/>
  <c r="S25" i="3"/>
  <c r="E38" i="3"/>
  <c r="G39" i="3" s="1"/>
  <c r="R33" i="3"/>
  <c r="S32" i="3"/>
  <c r="P46" i="3" s="1"/>
  <c r="H32" i="3"/>
  <c r="H34" i="3" s="1"/>
  <c r="G32" i="3"/>
  <c r="G34" i="3" s="1"/>
  <c r="S39" i="3"/>
  <c r="H24" i="3"/>
  <c r="G38" i="3"/>
  <c r="D47" i="3" l="1"/>
  <c r="G41" i="3"/>
  <c r="S27" i="3"/>
  <c r="R45" i="3" s="1"/>
  <c r="P45" i="3"/>
  <c r="O49" i="3"/>
  <c r="O50" i="3"/>
  <c r="S41" i="3"/>
  <c r="R47" i="3" s="1"/>
  <c r="P47" i="3"/>
  <c r="S34" i="3"/>
  <c r="R46" i="3" s="1"/>
  <c r="D46" i="3"/>
  <c r="E46" i="3"/>
  <c r="G40" i="3"/>
  <c r="D45" i="3"/>
  <c r="H25" i="3"/>
  <c r="S33" i="3"/>
  <c r="G33" i="3"/>
  <c r="H33" i="3"/>
  <c r="R26" i="3"/>
  <c r="S26" i="3"/>
  <c r="S40" i="3"/>
  <c r="H39" i="3"/>
  <c r="H41" i="3" s="1"/>
  <c r="AE30" i="2"/>
  <c r="AA31" i="2"/>
  <c r="AA24" i="2"/>
  <c r="AA30" i="2"/>
  <c r="AF29" i="2" s="1"/>
  <c r="AE23" i="2"/>
  <c r="AA23" i="2"/>
  <c r="AB23" i="2" s="1"/>
  <c r="AE24" i="2" s="1"/>
  <c r="AE26" i="2" s="1"/>
  <c r="T20" i="2"/>
  <c r="S20" i="2"/>
  <c r="L20" i="2"/>
  <c r="O20" i="2" s="1"/>
  <c r="P20" i="2" s="1"/>
  <c r="T19" i="2"/>
  <c r="S19" i="2"/>
  <c r="L19" i="2"/>
  <c r="T18" i="2"/>
  <c r="S18" i="2"/>
  <c r="L18" i="2"/>
  <c r="T17" i="2"/>
  <c r="S17" i="2"/>
  <c r="L17" i="2"/>
  <c r="T16" i="2"/>
  <c r="S16" i="2"/>
  <c r="L16" i="2"/>
  <c r="T15" i="2"/>
  <c r="S15" i="2"/>
  <c r="L15" i="2"/>
  <c r="T14" i="2"/>
  <c r="S14" i="2"/>
  <c r="L14" i="2"/>
  <c r="T13" i="2"/>
  <c r="S13" i="2"/>
  <c r="L13" i="2"/>
  <c r="T12" i="2"/>
  <c r="S12" i="2"/>
  <c r="L12" i="2"/>
  <c r="T11" i="2"/>
  <c r="S11" i="2"/>
  <c r="L11" i="2"/>
  <c r="T10" i="2"/>
  <c r="S10" i="2"/>
  <c r="L10" i="2"/>
  <c r="T9" i="2"/>
  <c r="S9" i="2"/>
  <c r="L9" i="2"/>
  <c r="T8" i="2"/>
  <c r="S8" i="2"/>
  <c r="L8" i="2"/>
  <c r="T7" i="2"/>
  <c r="S7" i="2"/>
  <c r="L7" i="2"/>
  <c r="T6" i="2"/>
  <c r="S6" i="2"/>
  <c r="L6" i="2"/>
  <c r="T5" i="2"/>
  <c r="S5" i="2"/>
  <c r="L5" i="2"/>
  <c r="T4" i="2"/>
  <c r="S4" i="2"/>
  <c r="L4" i="2"/>
  <c r="T3" i="2"/>
  <c r="S3" i="2"/>
  <c r="L3" i="2"/>
  <c r="T2" i="2"/>
  <c r="S2" i="2"/>
  <c r="AL28" i="1"/>
  <c r="AK28" i="1"/>
  <c r="AI28" i="1"/>
  <c r="AI29" i="1" s="1"/>
  <c r="AL29" i="1" s="1"/>
  <c r="AI20" i="1"/>
  <c r="AI21" i="1" s="1"/>
  <c r="P35" i="1"/>
  <c r="O35" i="1"/>
  <c r="P34" i="1"/>
  <c r="O34" i="1"/>
  <c r="P33" i="1"/>
  <c r="O32" i="1"/>
  <c r="P31" i="1"/>
  <c r="O31" i="1"/>
  <c r="P30" i="1"/>
  <c r="K30" i="1"/>
  <c r="P29" i="1"/>
  <c r="O29" i="1"/>
  <c r="P28" i="1"/>
  <c r="O28" i="1"/>
  <c r="O27" i="1"/>
  <c r="O26" i="1"/>
  <c r="O25" i="1"/>
  <c r="O24" i="1"/>
  <c r="O23" i="1"/>
  <c r="P22" i="1"/>
  <c r="O22" i="1"/>
  <c r="P21" i="1"/>
  <c r="O21" i="1"/>
  <c r="L21" i="1"/>
  <c r="P20" i="1"/>
  <c r="K20" i="1"/>
  <c r="O19" i="1"/>
  <c r="L19" i="1"/>
  <c r="P18" i="1"/>
  <c r="O18" i="1"/>
  <c r="O17" i="1"/>
  <c r="P16" i="1"/>
  <c r="O16" i="1"/>
  <c r="K16" i="1"/>
  <c r="P15" i="1"/>
  <c r="O15" i="1"/>
  <c r="O14" i="1"/>
  <c r="O13" i="1"/>
  <c r="O12" i="1"/>
  <c r="P11" i="1"/>
  <c r="O11" i="1"/>
  <c r="L11" i="1"/>
  <c r="P10" i="1"/>
  <c r="O10" i="1"/>
  <c r="P9" i="1"/>
  <c r="O9" i="1"/>
  <c r="P8" i="1"/>
  <c r="O8" i="1"/>
  <c r="P7" i="1"/>
  <c r="O7" i="1"/>
  <c r="P6" i="1"/>
  <c r="O6" i="1"/>
  <c r="P5" i="1"/>
  <c r="O5" i="1"/>
  <c r="P4" i="1"/>
  <c r="O4" i="1"/>
  <c r="P3" i="1"/>
  <c r="O3" i="1"/>
  <c r="L3" i="1"/>
  <c r="P2" i="1"/>
  <c r="O2" i="1"/>
  <c r="H26" i="3" l="1"/>
  <c r="H27" i="3"/>
  <c r="P49" i="3"/>
  <c r="P50" i="3"/>
  <c r="D49" i="3"/>
  <c r="D50" i="3"/>
  <c r="K2" i="1"/>
  <c r="K35" i="1"/>
  <c r="L35" i="1"/>
  <c r="AL30" i="1"/>
  <c r="AL31" i="1"/>
  <c r="L34" i="1"/>
  <c r="K34" i="1"/>
  <c r="L18" i="1"/>
  <c r="K18" i="1"/>
  <c r="L33" i="1"/>
  <c r="K33" i="1"/>
  <c r="K17" i="1"/>
  <c r="L17" i="1"/>
  <c r="L32" i="1"/>
  <c r="K32" i="1"/>
  <c r="L10" i="1"/>
  <c r="K10" i="1"/>
  <c r="K8" i="1"/>
  <c r="L8" i="1"/>
  <c r="L16" i="1"/>
  <c r="L30" i="1"/>
  <c r="AE29" i="2"/>
  <c r="AF22" i="2"/>
  <c r="AF24" i="2"/>
  <c r="AF26" i="2" s="1"/>
  <c r="E45" i="3"/>
  <c r="G26" i="3"/>
  <c r="H40" i="3"/>
  <c r="E47" i="3"/>
  <c r="AE22" i="2"/>
  <c r="AB30" i="2"/>
  <c r="O14" i="2"/>
  <c r="P14" i="2" s="1"/>
  <c r="M14" i="2"/>
  <c r="N14" i="2" s="1"/>
  <c r="O3" i="2"/>
  <c r="P3" i="2" s="1"/>
  <c r="M3" i="2"/>
  <c r="N3" i="2" s="1"/>
  <c r="O15" i="2"/>
  <c r="P15" i="2" s="1"/>
  <c r="M15" i="2"/>
  <c r="N15" i="2" s="1"/>
  <c r="M12" i="2"/>
  <c r="N12" i="2" s="1"/>
  <c r="O12" i="2"/>
  <c r="P12" i="2" s="1"/>
  <c r="O4" i="2"/>
  <c r="P4" i="2" s="1"/>
  <c r="M4" i="2"/>
  <c r="N4" i="2" s="1"/>
  <c r="M16" i="2"/>
  <c r="N16" i="2" s="1"/>
  <c r="O16" i="2"/>
  <c r="P16" i="2" s="1"/>
  <c r="O5" i="2"/>
  <c r="P5" i="2" s="1"/>
  <c r="M5" i="2"/>
  <c r="N5" i="2" s="1"/>
  <c r="O17" i="2"/>
  <c r="P17" i="2" s="1"/>
  <c r="M17" i="2"/>
  <c r="N17" i="2" s="1"/>
  <c r="O6" i="2"/>
  <c r="P6" i="2" s="1"/>
  <c r="M6" i="2"/>
  <c r="N6" i="2" s="1"/>
  <c r="O18" i="2"/>
  <c r="P18" i="2" s="1"/>
  <c r="M18" i="2"/>
  <c r="N18" i="2" s="1"/>
  <c r="O7" i="2"/>
  <c r="P7" i="2" s="1"/>
  <c r="M7" i="2"/>
  <c r="N7" i="2" s="1"/>
  <c r="O19" i="2"/>
  <c r="P19" i="2" s="1"/>
  <c r="M19" i="2"/>
  <c r="N19" i="2" s="1"/>
  <c r="O8" i="2"/>
  <c r="P8" i="2" s="1"/>
  <c r="M8" i="2"/>
  <c r="N8" i="2" s="1"/>
  <c r="O9" i="2"/>
  <c r="P9" i="2" s="1"/>
  <c r="M9" i="2"/>
  <c r="N9" i="2" s="1"/>
  <c r="O10" i="2"/>
  <c r="P10" i="2" s="1"/>
  <c r="M10" i="2"/>
  <c r="N10" i="2" s="1"/>
  <c r="O13" i="2"/>
  <c r="P13" i="2" s="1"/>
  <c r="M13" i="2"/>
  <c r="N13" i="2" s="1"/>
  <c r="O11" i="2"/>
  <c r="P11" i="2" s="1"/>
  <c r="M11" i="2"/>
  <c r="N11" i="2" s="1"/>
  <c r="M20" i="2"/>
  <c r="N20" i="2" s="1"/>
  <c r="AK21" i="1"/>
  <c r="AL21" i="1"/>
  <c r="AK29" i="1"/>
  <c r="L9" i="1"/>
  <c r="K9" i="1"/>
  <c r="K25" i="1"/>
  <c r="L25" i="1"/>
  <c r="L15" i="1"/>
  <c r="K15" i="1"/>
  <c r="L28" i="1"/>
  <c r="K28" i="1"/>
  <c r="L7" i="1"/>
  <c r="K7" i="1"/>
  <c r="K24" i="1"/>
  <c r="L24" i="1"/>
  <c r="L6" i="1"/>
  <c r="K6" i="1"/>
  <c r="L14" i="1"/>
  <c r="K14" i="1"/>
  <c r="L31" i="1"/>
  <c r="K31" i="1"/>
  <c r="K5" i="1"/>
  <c r="L5" i="1"/>
  <c r="L23" i="1"/>
  <c r="K23" i="1"/>
  <c r="K27" i="1"/>
  <c r="L27" i="1"/>
  <c r="L13" i="1"/>
  <c r="K13" i="1"/>
  <c r="L4" i="1"/>
  <c r="K4" i="1"/>
  <c r="L22" i="1"/>
  <c r="K22" i="1"/>
  <c r="L29" i="1"/>
  <c r="K29" i="1"/>
  <c r="L12" i="1"/>
  <c r="K12" i="1"/>
  <c r="L26" i="1"/>
  <c r="K26" i="1"/>
  <c r="K19" i="1"/>
  <c r="K21" i="1"/>
  <c r="K3" i="1"/>
  <c r="L20" i="1"/>
  <c r="K11" i="1"/>
  <c r="E50" i="3" l="1"/>
  <c r="E49" i="3"/>
  <c r="AK30" i="1"/>
  <c r="AK31" i="1"/>
  <c r="AL22" i="1"/>
  <c r="AL23" i="1"/>
  <c r="AK22" i="1"/>
  <c r="AK23" i="1"/>
  <c r="AF25" i="2"/>
  <c r="AE31" i="2"/>
  <c r="AE33" i="2" s="1"/>
  <c r="AF31" i="2"/>
  <c r="AF33" i="2" s="1"/>
  <c r="AF32" i="2" l="1"/>
  <c r="AE32" i="2"/>
</calcChain>
</file>

<file path=xl/sharedStrings.xml><?xml version="1.0" encoding="utf-8"?>
<sst xmlns="http://schemas.openxmlformats.org/spreadsheetml/2006/main" count="449" uniqueCount="217">
  <si>
    <t>Sample</t>
  </si>
  <si>
    <t>SiO2</t>
  </si>
  <si>
    <t>TiO2</t>
  </si>
  <si>
    <t>Al2O3</t>
  </si>
  <si>
    <t>MnO</t>
  </si>
  <si>
    <t>MgO</t>
  </si>
  <si>
    <t>CaO</t>
  </si>
  <si>
    <t>Na2O</t>
  </si>
  <si>
    <t>K2O</t>
  </si>
  <si>
    <t>MgO/Al2O3</t>
  </si>
  <si>
    <t>FeOt/Al2O3</t>
  </si>
  <si>
    <t>MgO/TiO2</t>
  </si>
  <si>
    <t>FeOt/TiO2</t>
  </si>
  <si>
    <t>Al2O3/TiO2</t>
  </si>
  <si>
    <t>MgO/FeO</t>
  </si>
  <si>
    <t>Fo, En</t>
  </si>
  <si>
    <t>MgO liq (kD = 0.33)</t>
  </si>
  <si>
    <t>MgO liq (kD = 0.23)</t>
  </si>
  <si>
    <t>Fo_CIPW</t>
  </si>
  <si>
    <t>En_CIPW</t>
  </si>
  <si>
    <t>SIKA-2017-1.1</t>
  </si>
  <si>
    <t>SIKA-2017-1.2</t>
  </si>
  <si>
    <t>SIKA-2017-3.1</t>
  </si>
  <si>
    <t>SIKA-2017-4.1</t>
  </si>
  <si>
    <t>SIKA-2017-5.1</t>
  </si>
  <si>
    <t>SIKA-2017-8.1</t>
  </si>
  <si>
    <t>SIKA-2017-11.1</t>
  </si>
  <si>
    <t>SIKA-2017-11.2</t>
  </si>
  <si>
    <t>SIKA-2017-13.1</t>
  </si>
  <si>
    <t>SIKA-2017-14.1</t>
  </si>
  <si>
    <t>SIKA-2017-17.1</t>
  </si>
  <si>
    <t>SIKA-2017-49.1</t>
  </si>
  <si>
    <t>SIKA-2017-49.2</t>
  </si>
  <si>
    <t>SIKA-2017-51.1</t>
  </si>
  <si>
    <t>SIKA-2017-53.1</t>
  </si>
  <si>
    <t>SIKA-2017-54.1</t>
  </si>
  <si>
    <t>SIKA-2017-62.1</t>
  </si>
  <si>
    <t>SIKA-2017-67.1</t>
  </si>
  <si>
    <t>SIKA-2017-69.1</t>
  </si>
  <si>
    <t>SIKA-2017-75.1</t>
  </si>
  <si>
    <t>SIKA-2017-80.1</t>
  </si>
  <si>
    <t>SIKA-2017-81.1</t>
  </si>
  <si>
    <t>SIKA-2017-82.1</t>
  </si>
  <si>
    <t>SIKA-2017-88.1</t>
  </si>
  <si>
    <t>SIKA-2017-88.2</t>
  </si>
  <si>
    <t>SIKA-2017-88.3</t>
  </si>
  <si>
    <t>SIKA-2017-156.1</t>
  </si>
  <si>
    <t>SIKA-2017-158.1</t>
  </si>
  <si>
    <t>SIKA-2017-159.1</t>
  </si>
  <si>
    <t>SIKA-2017-159.2</t>
  </si>
  <si>
    <t>SIKA-2017-161.1</t>
  </si>
  <si>
    <t>SIKA-2017-185.1</t>
  </si>
  <si>
    <t>SIKA-2017-185.2</t>
  </si>
  <si>
    <t>SIKA-2017-185.3</t>
  </si>
  <si>
    <t>MEDIAN</t>
  </si>
  <si>
    <t>MIN</t>
  </si>
  <si>
    <t>MAX</t>
  </si>
  <si>
    <t xml:space="preserve">KD MgO/FeO </t>
  </si>
  <si>
    <t>ka</t>
  </si>
  <si>
    <t>b</t>
  </si>
  <si>
    <r>
      <t>R</t>
    </r>
    <r>
      <rPr>
        <vertAlign val="superscript"/>
        <sz val="11"/>
        <color theme="1"/>
        <rFont val="Calibri"/>
        <family val="2"/>
        <scheme val="minor"/>
      </rPr>
      <t>2</t>
    </r>
  </si>
  <si>
    <t>Error</t>
  </si>
  <si>
    <t>FeOt</t>
  </si>
  <si>
    <t>CaO/Al2O3</t>
  </si>
  <si>
    <t>MgO liq sample (kD = 0.33)</t>
  </si>
  <si>
    <t>FeO liq (kD = 0.33)</t>
  </si>
  <si>
    <t>MgO liq sample (kD = 0.23)</t>
  </si>
  <si>
    <t>FeO liq (kD = 0.23)</t>
  </si>
  <si>
    <t>MgO liq (kD = 0.33)_CIPW</t>
  </si>
  <si>
    <t>MgO liq (kD = 0.23)_CIPW</t>
  </si>
  <si>
    <t>SIKA-2017-6.1</t>
  </si>
  <si>
    <t>SIKA-2017-6.2</t>
  </si>
  <si>
    <t>SIKA-2017-6.3</t>
  </si>
  <si>
    <t>SIKA-2017-6.4</t>
  </si>
  <si>
    <t>SIKA-2017-7.1</t>
  </si>
  <si>
    <t>SIKA-2017-20.1</t>
  </si>
  <si>
    <t>SIKA-2017-21.1</t>
  </si>
  <si>
    <t>SIKA-2017-42.1</t>
  </si>
  <si>
    <t>SIKA-2017-44.1</t>
  </si>
  <si>
    <t>SIKA-2017-104.1</t>
  </si>
  <si>
    <t>SIKA-2017-105.1</t>
  </si>
  <si>
    <t>SIKA-2017-108.1</t>
  </si>
  <si>
    <t>SIKA-2017-111.1</t>
  </si>
  <si>
    <t>SIKA-2017-112.1</t>
  </si>
  <si>
    <t>SIKA-2017-115.2</t>
  </si>
  <si>
    <t>SIKA-2017-167.1</t>
  </si>
  <si>
    <t>SIKA-2017-173.1</t>
  </si>
  <si>
    <t>SIKA-2017-174.1</t>
  </si>
  <si>
    <t>SIKA-2017-174.2</t>
  </si>
  <si>
    <t>Fo, En %</t>
  </si>
  <si>
    <t>Mg#</t>
  </si>
  <si>
    <r>
      <t>MgO</t>
    </r>
    <r>
      <rPr>
        <b/>
        <vertAlign val="subscript"/>
        <sz val="11"/>
        <color theme="1"/>
        <rFont val="Calibri"/>
        <family val="2"/>
        <scheme val="minor"/>
      </rPr>
      <t>liq</t>
    </r>
    <r>
      <rPr>
        <b/>
        <sz val="11"/>
        <color theme="1"/>
        <rFont val="Calibri"/>
        <family val="2"/>
        <scheme val="minor"/>
      </rPr>
      <t xml:space="preserve"> wt-%</t>
    </r>
  </si>
  <si>
    <r>
      <t>FeO</t>
    </r>
    <r>
      <rPr>
        <b/>
        <vertAlign val="subscript"/>
        <sz val="11"/>
        <color theme="1"/>
        <rFont val="Calibri"/>
        <family val="2"/>
        <scheme val="minor"/>
      </rPr>
      <t>liq</t>
    </r>
    <r>
      <rPr>
        <b/>
        <sz val="11"/>
        <color theme="1"/>
        <rFont val="Calibri"/>
        <family val="2"/>
        <scheme val="minor"/>
      </rPr>
      <t xml:space="preserve"> wt-%</t>
    </r>
  </si>
  <si>
    <t>Tainiovaara</t>
  </si>
  <si>
    <t>Fo %</t>
  </si>
  <si>
    <t>k</t>
  </si>
  <si>
    <t>Vaara</t>
  </si>
  <si>
    <t>Fo molar</t>
  </si>
  <si>
    <t>Pihlajasalo</t>
  </si>
  <si>
    <t>Niinimäki E</t>
  </si>
  <si>
    <t>Niinimäki W</t>
  </si>
  <si>
    <t>Venetekemä</t>
  </si>
  <si>
    <t>Kiiskilänkangas</t>
  </si>
  <si>
    <r>
      <t>Fe2+/Fe</t>
    </r>
    <r>
      <rPr>
        <b/>
        <vertAlign val="subscript"/>
        <sz val="11"/>
        <color theme="1"/>
        <rFont val="Calibri"/>
        <family val="2"/>
        <scheme val="minor"/>
      </rPr>
      <t>tot</t>
    </r>
  </si>
  <si>
    <t>From Makkonen et al., 2017</t>
  </si>
  <si>
    <t>Quality control, checking the calculations:</t>
  </si>
  <si>
    <t>Matokulma</t>
  </si>
  <si>
    <t>Palojärvi</t>
  </si>
  <si>
    <t>Parental magma MgO concentration (wt.%)</t>
  </si>
  <si>
    <t xml:space="preserve">kD MgO/FeO </t>
  </si>
  <si>
    <t>Calculated FeOt wt.%</t>
  </si>
  <si>
    <t>MgO wt.% melt in text</t>
  </si>
  <si>
    <t>From Makkonen, 1996</t>
  </si>
  <si>
    <r>
      <t>Fe2+/Fe</t>
    </r>
    <r>
      <rPr>
        <b/>
        <vertAlign val="subscript"/>
        <sz val="11"/>
        <rFont val="Calibri"/>
        <family val="2"/>
        <scheme val="minor"/>
      </rPr>
      <t>tot</t>
    </r>
  </si>
  <si>
    <r>
      <t>Mg#</t>
    </r>
    <r>
      <rPr>
        <vertAlign val="subscript"/>
        <sz val="11"/>
        <rFont val="Calibri"/>
        <family val="2"/>
        <scheme val="minor"/>
      </rPr>
      <t>liq</t>
    </r>
  </si>
  <si>
    <r>
      <t>Calculated MgO</t>
    </r>
    <r>
      <rPr>
        <vertAlign val="subscript"/>
        <sz val="11"/>
        <rFont val="Calibri"/>
        <family val="2"/>
        <scheme val="minor"/>
      </rPr>
      <t>liq</t>
    </r>
    <r>
      <rPr>
        <sz val="11"/>
        <rFont val="Calibri"/>
        <family val="2"/>
        <scheme val="minor"/>
      </rPr>
      <t xml:space="preserve"> wt.%</t>
    </r>
  </si>
  <si>
    <t>Table 14; Makkonen, H.V., 1996. 1.9 Ga tholeiitic magmatism and related Ni-Cu deposition in
the Juva area, SE Finland. Geological Survey of Finland, Bulletin 386, 101 p.</t>
  </si>
  <si>
    <t>Figure 12; Makkonen, H. V., Halkoaho, T., Konnunaho, J., Rasilainen, K., Kontinen, A., Eilu, P. 2017. Ni-(Cu-PGE) deposits in Finland–geology and exploration potential. Ore Geology Reviews 90, 667-696.</t>
  </si>
  <si>
    <t>Error wt.% (kD 0.33, ol)</t>
  </si>
  <si>
    <t>Error wt.% (kD 0.23, opx)</t>
  </si>
  <si>
    <t>Min_ID</t>
  </si>
  <si>
    <t>Group</t>
  </si>
  <si>
    <t>FeO</t>
  </si>
  <si>
    <t>Cr2O3</t>
  </si>
  <si>
    <t>V2O3</t>
  </si>
  <si>
    <t>SrO</t>
  </si>
  <si>
    <t>ZnO</t>
  </si>
  <si>
    <t>NiO</t>
  </si>
  <si>
    <t>CoO</t>
  </si>
  <si>
    <t>F</t>
  </si>
  <si>
    <t>Cl</t>
  </si>
  <si>
    <t>Wo</t>
  </si>
  <si>
    <t>En</t>
  </si>
  <si>
    <t>Fs</t>
  </si>
  <si>
    <t>Mg# (molar 100*MgO/(MgO+FeO))</t>
  </si>
  <si>
    <r>
      <t>MgO</t>
    </r>
    <r>
      <rPr>
        <vertAlign val="subscript"/>
        <sz val="10"/>
        <rFont val="Calibri Light"/>
        <family val="2"/>
        <scheme val="major"/>
      </rPr>
      <t>liq</t>
    </r>
    <r>
      <rPr>
        <sz val="10"/>
        <rFont val="Calibri Light"/>
        <family val="2"/>
        <scheme val="major"/>
      </rPr>
      <t xml:space="preserve"> wt-% (kD = 0.23, orthopyroxene)</t>
    </r>
  </si>
  <si>
    <t xml:space="preserve">Molar MgO/FeO </t>
  </si>
  <si>
    <r>
      <t>MgO</t>
    </r>
    <r>
      <rPr>
        <vertAlign val="subscript"/>
        <sz val="10"/>
        <rFont val="Calibri Light"/>
        <family val="2"/>
        <scheme val="major"/>
      </rPr>
      <t>liq</t>
    </r>
    <r>
      <rPr>
        <sz val="10"/>
        <rFont val="Calibri Light"/>
        <family val="2"/>
        <scheme val="major"/>
      </rPr>
      <t xml:space="preserve"> wt-% (kD = 0.33, olivine)</t>
    </r>
  </si>
  <si>
    <t>OPX_Matokulma_1</t>
  </si>
  <si>
    <t>Opx_Matokulma</t>
  </si>
  <si>
    <t>OPX_Matokulma_2</t>
  </si>
  <si>
    <t>OPX_Matokulma_3</t>
  </si>
  <si>
    <t>OPX_Matokulma_4</t>
  </si>
  <si>
    <t>OPX_Matokulma_5</t>
  </si>
  <si>
    <t>OPX_Matokulma_6</t>
  </si>
  <si>
    <t>OPX_Matokulma_7</t>
  </si>
  <si>
    <t>OPX_Matokulma_8</t>
  </si>
  <si>
    <t>OPX_Matokulma_9</t>
  </si>
  <si>
    <t>OPX_Matokulma_10</t>
  </si>
  <si>
    <t>OPX_Matokulma_11</t>
  </si>
  <si>
    <t>OPX_Matokulma_12</t>
  </si>
  <si>
    <t>OPX_Matokulma_13</t>
  </si>
  <si>
    <t>OPX_Matokulma_14</t>
  </si>
  <si>
    <t>OPX_Matokulma_15</t>
  </si>
  <si>
    <t>OPX_Matokulma_16</t>
  </si>
  <si>
    <t>OPX_Matokulma_17</t>
  </si>
  <si>
    <t>OPX_Matokulma_18</t>
  </si>
  <si>
    <t>OPX_Matokulma_19</t>
  </si>
  <si>
    <t>OPX_Matokulma_20</t>
  </si>
  <si>
    <t>OPX_Palojärvi_1</t>
  </si>
  <si>
    <t>Opx_Palojärvi</t>
  </si>
  <si>
    <t>OPX_Palojärvi_2</t>
  </si>
  <si>
    <t>OPX_Palojärvi_3</t>
  </si>
  <si>
    <t>OPX_Palojärvi_4</t>
  </si>
  <si>
    <t>OPX_Palojärvi_5</t>
  </si>
  <si>
    <t>OPX_Palojärvi_6</t>
  </si>
  <si>
    <t>OPX_Palojärvi_7</t>
  </si>
  <si>
    <t>OPX_Palojärvi_8</t>
  </si>
  <si>
    <t>OPX_Palojärvi_9</t>
  </si>
  <si>
    <t>OPX_Palojärvi_10</t>
  </si>
  <si>
    <t>OPX_Palojärvi_11</t>
  </si>
  <si>
    <t>OPX_Palojärvi_12</t>
  </si>
  <si>
    <t>OPX_Palojärvi_13</t>
  </si>
  <si>
    <t>OPX_Palojärvi_14</t>
  </si>
  <si>
    <t>OPX_Palojärvi_15</t>
  </si>
  <si>
    <t>OPX_Palojärvi_16</t>
  </si>
  <si>
    <t>OPX_Palojärvi_17</t>
  </si>
  <si>
    <t>OPX_Palojärvi_18</t>
  </si>
  <si>
    <t>OPX_Palojärvi_19</t>
  </si>
  <si>
    <t>OPX_Palojärvi_20</t>
  </si>
  <si>
    <t>OPX_Palojärvi_21</t>
  </si>
  <si>
    <t>OPX_Palojärvi_22</t>
  </si>
  <si>
    <t>OPX_Palojärvi_23</t>
  </si>
  <si>
    <t>OPX_Palojärvi_24</t>
  </si>
  <si>
    <t>OPX_Palojärvi_25</t>
  </si>
  <si>
    <t>OL_Palojärvi_1</t>
  </si>
  <si>
    <t>Ol_Palojärvi</t>
  </si>
  <si>
    <t>OL_Palojärvi_2</t>
  </si>
  <si>
    <t>OL_Palojärvi_3</t>
  </si>
  <si>
    <t>OL_Palojärvi_4</t>
  </si>
  <si>
    <t>OL_Palojärvi_5</t>
  </si>
  <si>
    <t>OL_Palojärvi_6</t>
  </si>
  <si>
    <t>OL_Palojärvi_7</t>
  </si>
  <si>
    <t>OL_Palojärvi_8</t>
  </si>
  <si>
    <t>OL_Palojärvi_9</t>
  </si>
  <si>
    <t>SIKA-2017-27.3</t>
  </si>
  <si>
    <t>SIKA-2017-28.1</t>
  </si>
  <si>
    <t>SIKA-2017-28.2</t>
  </si>
  <si>
    <t>SIKA-2017-55.1</t>
  </si>
  <si>
    <t>SIKA-2017-58.1</t>
  </si>
  <si>
    <t>SIKA-2017-61.1</t>
  </si>
  <si>
    <t>SIKA-2017-119.1</t>
  </si>
  <si>
    <t>SIKA-2017-121.1</t>
  </si>
  <si>
    <t>SIKA-2017-169.2</t>
  </si>
  <si>
    <t>Matokulma dikes</t>
  </si>
  <si>
    <r>
      <t>Fe</t>
    </r>
    <r>
      <rPr>
        <vertAlign val="superscript"/>
        <sz val="11"/>
        <color theme="1"/>
        <rFont val="Arial"/>
        <family val="2"/>
      </rPr>
      <t>2+</t>
    </r>
    <r>
      <rPr>
        <sz val="11"/>
        <color theme="1"/>
        <rFont val="Arial"/>
        <family val="2"/>
      </rPr>
      <t>/Fe</t>
    </r>
    <r>
      <rPr>
        <vertAlign val="subscript"/>
        <sz val="11"/>
        <color theme="1"/>
        <rFont val="Arial"/>
        <family val="2"/>
      </rPr>
      <t>tot</t>
    </r>
  </si>
  <si>
    <r>
      <t>Mg#</t>
    </r>
    <r>
      <rPr>
        <vertAlign val="subscript"/>
        <sz val="11"/>
        <color theme="1"/>
        <rFont val="Arial"/>
        <family val="2"/>
      </rPr>
      <t>liq</t>
    </r>
  </si>
  <si>
    <r>
      <t>MgO</t>
    </r>
    <r>
      <rPr>
        <vertAlign val="subscript"/>
        <sz val="11"/>
        <color theme="1"/>
        <rFont val="Arial"/>
        <family val="2"/>
      </rPr>
      <t>liq</t>
    </r>
    <r>
      <rPr>
        <sz val="11"/>
        <color theme="1"/>
        <rFont val="Arial"/>
        <family val="2"/>
      </rPr>
      <t xml:space="preserve"> wt-%</t>
    </r>
  </si>
  <si>
    <r>
      <t>R</t>
    </r>
    <r>
      <rPr>
        <vertAlign val="superscript"/>
        <sz val="11"/>
        <color theme="1"/>
        <rFont val="Arial"/>
        <family val="2"/>
      </rPr>
      <t>2</t>
    </r>
  </si>
  <si>
    <r>
      <t>FeO</t>
    </r>
    <r>
      <rPr>
        <vertAlign val="subscript"/>
        <sz val="11"/>
        <color theme="1"/>
        <rFont val="Arial"/>
        <family val="2"/>
      </rPr>
      <t>liq</t>
    </r>
    <r>
      <rPr>
        <sz val="11"/>
        <color theme="1"/>
        <rFont val="Arial"/>
        <family val="2"/>
      </rPr>
      <t xml:space="preserve"> wt-%</t>
    </r>
  </si>
  <si>
    <r>
      <t>Fe2+/Fe</t>
    </r>
    <r>
      <rPr>
        <b/>
        <vertAlign val="subscript"/>
        <sz val="14"/>
        <color theme="1"/>
        <rFont val="Arial"/>
        <family val="2"/>
      </rPr>
      <t>tot</t>
    </r>
  </si>
  <si>
    <r>
      <t>MgO</t>
    </r>
    <r>
      <rPr>
        <b/>
        <vertAlign val="subscript"/>
        <sz val="11"/>
        <color theme="1"/>
        <rFont val="Arial"/>
        <family val="2"/>
      </rPr>
      <t>liq</t>
    </r>
    <r>
      <rPr>
        <b/>
        <sz val="11"/>
        <color theme="1"/>
        <rFont val="Arial"/>
        <family val="2"/>
      </rPr>
      <t xml:space="preserve"> wt-%</t>
    </r>
  </si>
  <si>
    <r>
      <t>FeO</t>
    </r>
    <r>
      <rPr>
        <b/>
        <vertAlign val="subscript"/>
        <sz val="11"/>
        <color theme="1"/>
        <rFont val="Arial"/>
        <family val="2"/>
      </rPr>
      <t>liq</t>
    </r>
    <r>
      <rPr>
        <b/>
        <sz val="11"/>
        <color theme="1"/>
        <rFont val="Arial"/>
        <family val="2"/>
      </rPr>
      <t xml:space="preserve"> wt-%</t>
    </r>
  </si>
  <si>
    <r>
      <t>Fe</t>
    </r>
    <r>
      <rPr>
        <b/>
        <vertAlign val="superscript"/>
        <sz val="12"/>
        <color theme="1"/>
        <rFont val="Arial"/>
        <family val="2"/>
      </rPr>
      <t>2+</t>
    </r>
    <r>
      <rPr>
        <b/>
        <sz val="12"/>
        <color theme="1"/>
        <rFont val="Arial"/>
        <family val="2"/>
      </rPr>
      <t>/Fe</t>
    </r>
    <r>
      <rPr>
        <b/>
        <vertAlign val="subscript"/>
        <sz val="12"/>
        <color theme="1"/>
        <rFont val="Arial"/>
        <family val="2"/>
      </rPr>
      <t>tot</t>
    </r>
  </si>
  <si>
    <r>
      <t>MgO</t>
    </r>
    <r>
      <rPr>
        <vertAlign val="subscript"/>
        <sz val="12"/>
        <color theme="1"/>
        <rFont val="Arial"/>
        <family val="2"/>
      </rPr>
      <t>liq</t>
    </r>
    <r>
      <rPr>
        <sz val="12"/>
        <color theme="1"/>
        <rFont val="Arial"/>
        <family val="2"/>
      </rPr>
      <t xml:space="preserve"> wt.%  (kD 0.33, ol)</t>
    </r>
  </si>
  <si>
    <r>
      <t>MgO</t>
    </r>
    <r>
      <rPr>
        <vertAlign val="subscript"/>
        <sz val="12"/>
        <color theme="1"/>
        <rFont val="Arial"/>
        <family val="2"/>
      </rPr>
      <t>liq</t>
    </r>
    <r>
      <rPr>
        <sz val="12"/>
        <color theme="1"/>
        <rFont val="Arial"/>
        <family val="2"/>
      </rPr>
      <t xml:space="preserve"> wt.%  (kD 0.23, opx)</t>
    </r>
  </si>
  <si>
    <t>Electronic appendix B to  "Mafic-ultramafic intrusions of Matokulma, Palojärvi, and Hongonniittu within the Central Finland Granitoid Complex with special reference  
to their petrogenesis and ore potential"; Karvinen, S., Makkonen, H.V., Mikkola, P., Rämö, O.T., Huhma, H., Niskanen, 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</si>
</sst>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0.0"/>
  </numFmts>
  <fonts count="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vertAlign val="super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rgb="FF71707C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vertAlign val="subscript"/>
      <sz val="11"/>
      <name val="Calibri"/>
      <family val="2"/>
      <scheme val="minor"/>
    </font>
    <font>
      <vertAlign val="subscript"/>
      <sz val="11"/>
      <name val="Calibri"/>
      <family val="2"/>
      <scheme val="minor"/>
    </font>
    <font>
      <sz val="10"/>
      <name val="Times New Roman"/>
      <family val="1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sz val="10"/>
      <name val="Calibri Light"/>
      <family val="2"/>
      <scheme val="major"/>
    </font>
    <font>
      <vertAlign val="subscript"/>
      <sz val="10"/>
      <name val="Calibri Light"/>
      <family val="2"/>
      <scheme val="maj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vertAlign val="superscript"/>
      <sz val="11"/>
      <color theme="1"/>
      <name val="Arial"/>
      <family val="2"/>
    </font>
    <font>
      <vertAlign val="subscript"/>
      <sz val="11"/>
      <color theme="1"/>
      <name val="Arial"/>
      <family val="2"/>
    </font>
    <font>
      <b/>
      <sz val="18"/>
      <color theme="1"/>
      <name val="Arial"/>
      <family val="2"/>
    </font>
    <font>
      <b/>
      <sz val="14"/>
      <color theme="1"/>
      <name val="Arial"/>
      <family val="2"/>
    </font>
    <font>
      <b/>
      <vertAlign val="subscript"/>
      <sz val="14"/>
      <color theme="1"/>
      <name val="Arial"/>
      <family val="2"/>
    </font>
    <font>
      <b/>
      <vertAlign val="subscript"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vertAlign val="superscript"/>
      <sz val="12"/>
      <color theme="1"/>
      <name val="Arial"/>
      <family val="2"/>
    </font>
    <font>
      <b/>
      <vertAlign val="subscript"/>
      <sz val="12"/>
      <color theme="1"/>
      <name val="Arial"/>
      <family val="2"/>
    </font>
    <font>
      <vertAlign val="subscript"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49" fontId="2" fillId="0" borderId="0" xfId="0" applyNumberFormat="1" applyFont="1"/>
    <xf numFmtId="0" fontId="3" fillId="0" borderId="0" xfId="0" applyFont="1" applyAlignment="1">
      <alignment horizontal="center" vertical="center"/>
    </xf>
    <xf numFmtId="2" fontId="0" fillId="0" borderId="0" xfId="0" applyNumberFormat="1"/>
    <xf numFmtId="0" fontId="1" fillId="0" borderId="0" xfId="0" applyFont="1"/>
    <xf numFmtId="2" fontId="1" fillId="0" borderId="0" xfId="0" applyNumberFormat="1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2" fontId="0" fillId="0" borderId="3" xfId="0" applyNumberFormat="1" applyBorder="1"/>
    <xf numFmtId="0" fontId="0" fillId="0" borderId="6" xfId="0" applyBorder="1"/>
    <xf numFmtId="165" fontId="0" fillId="0" borderId="8" xfId="0" applyNumberFormat="1" applyBorder="1"/>
    <xf numFmtId="0" fontId="0" fillId="0" borderId="9" xfId="0" applyBorder="1"/>
    <xf numFmtId="0" fontId="0" fillId="0" borderId="0" xfId="0" applyAlignment="1">
      <alignment horizontal="center"/>
    </xf>
    <xf numFmtId="0" fontId="6" fillId="0" borderId="0" xfId="0" applyFont="1"/>
    <xf numFmtId="0" fontId="7" fillId="0" borderId="0" xfId="0" applyFont="1"/>
    <xf numFmtId="0" fontId="1" fillId="0" borderId="2" xfId="0" applyFont="1" applyBorder="1"/>
    <xf numFmtId="0" fontId="1" fillId="0" borderId="3" xfId="0" applyFont="1" applyBorder="1"/>
    <xf numFmtId="0" fontId="8" fillId="0" borderId="0" xfId="0" applyFont="1"/>
    <xf numFmtId="0" fontId="8" fillId="0" borderId="2" xfId="0" applyFont="1" applyBorder="1"/>
    <xf numFmtId="0" fontId="8" fillId="0" borderId="3" xfId="0" applyFont="1" applyBorder="1"/>
    <xf numFmtId="0" fontId="9" fillId="0" borderId="5" xfId="0" applyFont="1" applyBorder="1"/>
    <xf numFmtId="0" fontId="8" fillId="0" borderId="6" xfId="0" applyFont="1" applyBorder="1" applyAlignment="1">
      <alignment horizontal="right"/>
    </xf>
    <xf numFmtId="0" fontId="8" fillId="0" borderId="5" xfId="0" applyFont="1" applyBorder="1"/>
    <xf numFmtId="2" fontId="8" fillId="0" borderId="6" xfId="0" applyNumberFormat="1" applyFont="1" applyBorder="1" applyAlignment="1">
      <alignment horizontal="right"/>
    </xf>
    <xf numFmtId="0" fontId="8" fillId="0" borderId="7" xfId="0" applyFont="1" applyBorder="1"/>
    <xf numFmtId="0" fontId="8" fillId="0" borderId="8" xfId="0" applyFont="1" applyBorder="1"/>
    <xf numFmtId="2" fontId="8" fillId="0" borderId="9" xfId="0" applyNumberFormat="1" applyFont="1" applyBorder="1" applyAlignment="1">
      <alignment horizontal="right"/>
    </xf>
    <xf numFmtId="0" fontId="8" fillId="0" borderId="10" xfId="0" applyFont="1" applyBorder="1"/>
    <xf numFmtId="0" fontId="8" fillId="0" borderId="11" xfId="0" applyFont="1" applyBorder="1"/>
    <xf numFmtId="0" fontId="8" fillId="0" borderId="12" xfId="0" applyFont="1" applyBorder="1"/>
    <xf numFmtId="0" fontId="8" fillId="0" borderId="13" xfId="0" applyFont="1" applyBorder="1"/>
    <xf numFmtId="0" fontId="8" fillId="0" borderId="0" xfId="0" applyFont="1" applyAlignment="1">
      <alignment wrapText="1"/>
    </xf>
    <xf numFmtId="0" fontId="8" fillId="0" borderId="14" xfId="0" applyFont="1" applyBorder="1" applyAlignment="1">
      <alignment wrapText="1"/>
    </xf>
    <xf numFmtId="0" fontId="12" fillId="0" borderId="13" xfId="0" applyFont="1" applyBorder="1"/>
    <xf numFmtId="0" fontId="12" fillId="0" borderId="0" xfId="0" applyFont="1"/>
    <xf numFmtId="2" fontId="8" fillId="0" borderId="0" xfId="0" applyNumberFormat="1" applyFont="1"/>
    <xf numFmtId="2" fontId="8" fillId="0" borderId="14" xfId="0" applyNumberFormat="1" applyFont="1" applyBorder="1"/>
    <xf numFmtId="0" fontId="12" fillId="0" borderId="15" xfId="0" applyFont="1" applyBorder="1"/>
    <xf numFmtId="0" fontId="12" fillId="0" borderId="16" xfId="0" applyFont="1" applyBorder="1"/>
    <xf numFmtId="2" fontId="8" fillId="0" borderId="16" xfId="0" applyNumberFormat="1" applyFont="1" applyBorder="1"/>
    <xf numFmtId="2" fontId="8" fillId="0" borderId="17" xfId="0" applyNumberFormat="1" applyFont="1" applyBorder="1"/>
    <xf numFmtId="0" fontId="13" fillId="0" borderId="0" xfId="0" applyFont="1"/>
    <xf numFmtId="0" fontId="14" fillId="0" borderId="0" xfId="0" applyFont="1"/>
    <xf numFmtId="0" fontId="8" fillId="0" borderId="6" xfId="0" applyFont="1" applyBorder="1"/>
    <xf numFmtId="0" fontId="8" fillId="0" borderId="0" xfId="0" applyFont="1" applyAlignment="1">
      <alignment horizontal="right"/>
    </xf>
    <xf numFmtId="0" fontId="9" fillId="0" borderId="4" xfId="0" applyFont="1" applyBorder="1"/>
    <xf numFmtId="0" fontId="8" fillId="0" borderId="6" xfId="0" applyFont="1" applyBorder="1" applyAlignment="1">
      <alignment horizontal="center"/>
    </xf>
    <xf numFmtId="0" fontId="15" fillId="0" borderId="0" xfId="0" applyFont="1"/>
    <xf numFmtId="2" fontId="16" fillId="0" borderId="0" xfId="0" applyNumberFormat="1" applyFont="1"/>
    <xf numFmtId="165" fontId="16" fillId="0" borderId="0" xfId="0" applyNumberFormat="1" applyFont="1"/>
    <xf numFmtId="0" fontId="16" fillId="0" borderId="0" xfId="0" applyFont="1"/>
    <xf numFmtId="2" fontId="15" fillId="0" borderId="0" xfId="0" applyNumberFormat="1" applyFont="1"/>
    <xf numFmtId="2" fontId="16" fillId="0" borderId="0" xfId="0" applyNumberFormat="1" applyFont="1" applyAlignment="1">
      <alignment horizontal="center"/>
    </xf>
    <xf numFmtId="2" fontId="15" fillId="0" borderId="0" xfId="0" applyNumberFormat="1" applyFont="1" applyAlignment="1">
      <alignment horizontal="center"/>
    </xf>
    <xf numFmtId="164" fontId="16" fillId="0" borderId="0" xfId="0" applyNumberFormat="1" applyFont="1"/>
    <xf numFmtId="2" fontId="16" fillId="0" borderId="18" xfId="0" applyNumberFormat="1" applyFont="1" applyBorder="1"/>
    <xf numFmtId="166" fontId="16" fillId="0" borderId="5" xfId="0" applyNumberFormat="1" applyFont="1" applyBorder="1"/>
    <xf numFmtId="0" fontId="15" fillId="0" borderId="6" xfId="0" applyFont="1" applyBorder="1" applyAlignment="1">
      <alignment horizontal="center"/>
    </xf>
    <xf numFmtId="2" fontId="15" fillId="0" borderId="6" xfId="0" applyNumberFormat="1" applyFont="1" applyBorder="1"/>
    <xf numFmtId="166" fontId="16" fillId="0" borderId="7" xfId="0" applyNumberFormat="1" applyFont="1" applyBorder="1"/>
    <xf numFmtId="0" fontId="15" fillId="0" borderId="8" xfId="0" applyFont="1" applyBorder="1"/>
    <xf numFmtId="2" fontId="16" fillId="0" borderId="8" xfId="0" applyNumberFormat="1" applyFont="1" applyBorder="1" applyAlignment="1">
      <alignment horizontal="center"/>
    </xf>
    <xf numFmtId="2" fontId="15" fillId="0" borderId="9" xfId="0" applyNumberFormat="1" applyFont="1" applyBorder="1"/>
    <xf numFmtId="0" fontId="18" fillId="0" borderId="0" xfId="0" applyFont="1"/>
    <xf numFmtId="2" fontId="18" fillId="0" borderId="0" xfId="0" applyNumberFormat="1" applyFont="1" applyAlignment="1">
      <alignment horizontal="center" vertical="center"/>
    </xf>
    <xf numFmtId="166" fontId="18" fillId="0" borderId="0" xfId="0" applyNumberFormat="1" applyFont="1" applyAlignment="1">
      <alignment horizontal="center"/>
    </xf>
    <xf numFmtId="164" fontId="18" fillId="0" borderId="0" xfId="0" applyNumberFormat="1" applyFont="1"/>
    <xf numFmtId="2" fontId="18" fillId="0" borderId="0" xfId="0" applyNumberFormat="1" applyFont="1"/>
    <xf numFmtId="0" fontId="18" fillId="0" borderId="2" xfId="0" applyFont="1" applyBorder="1"/>
    <xf numFmtId="0" fontId="18" fillId="0" borderId="3" xfId="0" applyFont="1" applyBorder="1"/>
    <xf numFmtId="0" fontId="18" fillId="0" borderId="4" xfId="0" applyFont="1" applyBorder="1"/>
    <xf numFmtId="0" fontId="18" fillId="0" borderId="5" xfId="0" applyFont="1" applyBorder="1"/>
    <xf numFmtId="2" fontId="18" fillId="0" borderId="6" xfId="0" applyNumberFormat="1" applyFont="1" applyBorder="1"/>
    <xf numFmtId="0" fontId="18" fillId="0" borderId="7" xfId="0" applyFont="1" applyBorder="1"/>
    <xf numFmtId="0" fontId="18" fillId="0" borderId="8" xfId="0" applyFont="1" applyBorder="1"/>
    <xf numFmtId="2" fontId="18" fillId="0" borderId="8" xfId="0" applyNumberFormat="1" applyFont="1" applyBorder="1"/>
    <xf numFmtId="2" fontId="18" fillId="0" borderId="9" xfId="0" applyNumberFormat="1" applyFont="1" applyBorder="1"/>
    <xf numFmtId="49" fontId="18" fillId="0" borderId="0" xfId="0" applyNumberFormat="1" applyFont="1"/>
    <xf numFmtId="165" fontId="18" fillId="0" borderId="0" xfId="0" applyNumberFormat="1" applyFont="1"/>
    <xf numFmtId="0" fontId="19" fillId="0" borderId="0" xfId="0" applyFont="1"/>
    <xf numFmtId="0" fontId="18" fillId="0" borderId="1" xfId="0" applyFont="1" applyBorder="1"/>
    <xf numFmtId="0" fontId="22" fillId="0" borderId="0" xfId="0" applyFont="1"/>
    <xf numFmtId="0" fontId="23" fillId="0" borderId="0" xfId="0" applyFont="1"/>
    <xf numFmtId="0" fontId="23" fillId="0" borderId="0" xfId="0" applyFont="1" applyAlignment="1">
      <alignment horizontal="center"/>
    </xf>
    <xf numFmtId="2" fontId="19" fillId="0" borderId="0" xfId="0" applyNumberFormat="1" applyFont="1"/>
    <xf numFmtId="0" fontId="18" fillId="0" borderId="0" xfId="0" applyFont="1" applyAlignment="1">
      <alignment horizontal="center"/>
    </xf>
    <xf numFmtId="0" fontId="23" fillId="0" borderId="2" xfId="0" applyFont="1" applyBorder="1"/>
    <xf numFmtId="0" fontId="23" fillId="0" borderId="3" xfId="0" applyFont="1" applyBorder="1" applyAlignment="1">
      <alignment horizontal="center"/>
    </xf>
    <xf numFmtId="2" fontId="19" fillId="0" borderId="6" xfId="0" applyNumberFormat="1" applyFont="1" applyBorder="1"/>
    <xf numFmtId="164" fontId="18" fillId="0" borderId="8" xfId="0" applyNumberFormat="1" applyFont="1" applyBorder="1"/>
    <xf numFmtId="164" fontId="18" fillId="0" borderId="9" xfId="0" applyNumberFormat="1" applyFont="1" applyBorder="1"/>
    <xf numFmtId="0" fontId="26" fillId="0" borderId="0" xfId="0" applyFont="1" applyAlignment="1">
      <alignment wrapText="1"/>
    </xf>
    <xf numFmtId="0" fontId="27" fillId="0" borderId="0" xfId="0" applyFont="1"/>
    <xf numFmtId="2" fontId="27" fillId="0" borderId="0" xfId="0" applyNumberFormat="1" applyFont="1"/>
    <xf numFmtId="0" fontId="26" fillId="0" borderId="0" xfId="0" applyFont="1"/>
    <xf numFmtId="0" fontId="27" fillId="0" borderId="0" xfId="0" applyFont="1" applyAlignment="1">
      <alignment horizontal="center"/>
    </xf>
    <xf numFmtId="2" fontId="26" fillId="0" borderId="0" xfId="0" applyNumberFormat="1" applyFont="1" applyAlignment="1">
      <alignment horizontal="center"/>
    </xf>
    <xf numFmtId="2" fontId="26" fillId="0" borderId="0" xfId="0" applyNumberFormat="1" applyFont="1"/>
    <xf numFmtId="2" fontId="18" fillId="0" borderId="0" xfId="0" applyNumberFormat="1" applyFont="1" applyAlignment="1">
      <alignment horizontal="center"/>
    </xf>
    <xf numFmtId="49" fontId="18" fillId="0" borderId="0" xfId="0" applyNumberFormat="1" applyFont="1" applyAlignment="1">
      <alignment horizontal="left"/>
    </xf>
    <xf numFmtId="166" fontId="18" fillId="0" borderId="0" xfId="0" applyNumberFormat="1" applyFont="1"/>
    <xf numFmtId="2" fontId="18" fillId="0" borderId="5" xfId="0" applyNumberFormat="1" applyFont="1" applyBorder="1"/>
    <xf numFmtId="2" fontId="18" fillId="0" borderId="7" xfId="0" applyNumberFormat="1" applyFont="1" applyBorder="1"/>
    <xf numFmtId="0" fontId="2" fillId="0" borderId="0" xfId="0" applyFont="1" applyAlignment="1">
      <alignment horizontal="center" vertical="center"/>
    </xf>
    <xf numFmtId="0" fontId="26" fillId="0" borderId="0" xfId="0" applyFont="1" applyAlignment="1">
      <alignment horizontal="center" wrapText="1"/>
    </xf>
    <xf numFmtId="0" fontId="22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18" fillId="0" borderId="0" xfId="0" applyFont="1" applyAlignment="1">
      <alignment horizontal="left" vertical="top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03345"/>
      <color rgb="FF034A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Ex4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Ex5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i-FI" sz="1600"/>
              <a:t>Calculated Matokulma parental magma MgO </a:t>
            </a:r>
            <a:r>
              <a:rPr lang="fi-FI" sz="1600" b="0" i="0" u="none" strike="noStrike" kern="1200" spc="0" baseline="0">
                <a:solidFill>
                  <a:sysClr val="windowText" lastClr="000000"/>
                </a:solidFill>
              </a:rPr>
              <a:t>content</a:t>
            </a:r>
            <a:r>
              <a:rPr lang="fi-FI" sz="1600"/>
              <a:t> (wt.%)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Fe2+/Fetot =1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'Parental magma calculations'!$D$44:$E$44</c:f>
              <c:strCache>
                <c:ptCount val="2"/>
                <c:pt idx="0">
                  <c:v>MgOliq wt.%  (kD 0.33, ol)</c:v>
                </c:pt>
                <c:pt idx="1">
                  <c:v>MgOliq wt.%  (kD 0.23, opx)</c:v>
                </c:pt>
              </c:strCache>
            </c:strRef>
          </c:cat>
          <c:val>
            <c:numRef>
              <c:f>'Parental magma calculations'!$D$45:$E$45</c:f>
              <c:numCache>
                <c:formatCode>0.00</c:formatCode>
                <c:ptCount val="2"/>
                <c:pt idx="0">
                  <c:v>7.0567919318972088</c:v>
                </c:pt>
                <c:pt idx="1">
                  <c:v>5.1456523257476894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87-45F0-BABC-0A71902A27E3}"/>
            </c:ext>
          </c:extLst>
        </c:ser>
        <c:ser>
          <c:idx val="1"/>
          <c:order val="1"/>
          <c:tx>
            <c:v>Fe2+/Fetot =0.9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'Parental magma calculations'!$D$44:$E$44</c:f>
              <c:strCache>
                <c:ptCount val="2"/>
                <c:pt idx="0">
                  <c:v>MgOliq wt.%  (kD 0.33, ol)</c:v>
                </c:pt>
                <c:pt idx="1">
                  <c:v>MgOliq wt.%  (kD 0.23, opx)</c:v>
                </c:pt>
              </c:strCache>
            </c:strRef>
          </c:cat>
          <c:val>
            <c:numRef>
              <c:f>'Parental magma calculations'!$D$46:$E$46</c:f>
              <c:numCache>
                <c:formatCode>0.00</c:formatCode>
                <c:ptCount val="2"/>
                <c:pt idx="0">
                  <c:v>7.6415790950643974</c:v>
                </c:pt>
                <c:pt idx="1">
                  <c:v>5.6824091026774131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87-45F0-BABC-0A71902A27E3}"/>
            </c:ext>
          </c:extLst>
        </c:ser>
        <c:ser>
          <c:idx val="2"/>
          <c:order val="2"/>
          <c:tx>
            <c:v>Fe2+/Fetot=0.85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'Parental magma calculations'!$D$44:$E$44</c:f>
              <c:strCache>
                <c:ptCount val="2"/>
                <c:pt idx="0">
                  <c:v>MgOliq wt.%  (kD 0.33, ol)</c:v>
                </c:pt>
                <c:pt idx="1">
                  <c:v>MgOliq wt.%  (kD 0.23, opx)</c:v>
                </c:pt>
              </c:strCache>
            </c:strRef>
          </c:cat>
          <c:val>
            <c:numRef>
              <c:f>'Parental magma calculations'!$D$47:$E$47</c:f>
              <c:numCache>
                <c:formatCode>0.00</c:formatCode>
                <c:ptCount val="2"/>
                <c:pt idx="0">
                  <c:v>7.9608229445310226</c:v>
                </c:pt>
                <c:pt idx="1">
                  <c:v>5.9819062485362728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87-45F0-BABC-0A71902A27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2704848"/>
        <c:axId val="294125184"/>
      </c:lineChart>
      <c:catAx>
        <c:axId val="612704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294125184"/>
        <c:crosses val="autoZero"/>
        <c:auto val="1"/>
        <c:lblAlgn val="ctr"/>
        <c:lblOffset val="100"/>
        <c:noMultiLvlLbl val="0"/>
      </c:catAx>
      <c:valAx>
        <c:axId val="294125184"/>
        <c:scaling>
          <c:orientation val="minMax"/>
          <c:max val="8.5"/>
          <c:min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/>
                  <a:t>MgO wt.%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612704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i-FI" sz="1600"/>
              <a:t>Calculated Palojärvi parental magma MgO content (wt.%)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Fe2+/Fetot=1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'Parental magma calculations'!$O$44:$P$44</c:f>
              <c:strCache>
                <c:ptCount val="2"/>
                <c:pt idx="0">
                  <c:v>MgOliq wt.%  (kD 0.33, ol)</c:v>
                </c:pt>
                <c:pt idx="1">
                  <c:v>MgOliq wt.%  (kD 0.23, opx)</c:v>
                </c:pt>
              </c:strCache>
            </c:strRef>
          </c:cat>
          <c:val>
            <c:numRef>
              <c:f>'Parental magma calculations'!$O$45:$P$45</c:f>
              <c:numCache>
                <c:formatCode>0.00</c:formatCode>
                <c:ptCount val="2"/>
                <c:pt idx="0">
                  <c:v>4.7221743458997762</c:v>
                </c:pt>
                <c:pt idx="1">
                  <c:v>3.1578219096679785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CF-4690-863E-D4DAAC0C0835}"/>
            </c:ext>
          </c:extLst>
        </c:ser>
        <c:ser>
          <c:idx val="1"/>
          <c:order val="1"/>
          <c:tx>
            <c:v>Fe2+/Fetot=0.9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'Parental magma calculations'!$O$44:$P$44</c:f>
              <c:strCache>
                <c:ptCount val="2"/>
                <c:pt idx="0">
                  <c:v>MgOliq wt.%  (kD 0.33, ol)</c:v>
                </c:pt>
                <c:pt idx="1">
                  <c:v>MgOliq wt.%  (kD 0.23, opx)</c:v>
                </c:pt>
              </c:strCache>
            </c:strRef>
          </c:cat>
          <c:val>
            <c:numRef>
              <c:f>'Parental magma calculations'!$O$46:$P$46</c:f>
              <c:numCache>
                <c:formatCode>0.00</c:formatCode>
                <c:ptCount val="2"/>
                <c:pt idx="0">
                  <c:v>5.2403044738931941</c:v>
                </c:pt>
                <c:pt idx="1">
                  <c:v>3.5772579962971629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CF-4690-863E-D4DAAC0C0835}"/>
            </c:ext>
          </c:extLst>
        </c:ser>
        <c:ser>
          <c:idx val="2"/>
          <c:order val="2"/>
          <c:tx>
            <c:v>Fe2+/Fetot=0.85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'Parental magma calculations'!$O$44:$P$44</c:f>
              <c:strCache>
                <c:ptCount val="2"/>
                <c:pt idx="0">
                  <c:v>MgOliq wt.%  (kD 0.33, ol)</c:v>
                </c:pt>
                <c:pt idx="1">
                  <c:v>MgOliq wt.%  (kD 0.23, opx)</c:v>
                </c:pt>
              </c:strCache>
            </c:strRef>
          </c:cat>
          <c:val>
            <c:numRef>
              <c:f>'Parental magma calculations'!$O$47:$P$47</c:f>
              <c:numCache>
                <c:formatCode>0.00</c:formatCode>
                <c:ptCount val="2"/>
                <c:pt idx="0">
                  <c:v>5.5309911992772225</c:v>
                </c:pt>
                <c:pt idx="1">
                  <c:v>3.8180686634507053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1CF-4690-863E-D4DAAC0C08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3009072"/>
        <c:axId val="703009552"/>
      </c:lineChart>
      <c:catAx>
        <c:axId val="703009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703009552"/>
        <c:crosses val="autoZero"/>
        <c:auto val="1"/>
        <c:lblAlgn val="ctr"/>
        <c:lblOffset val="100"/>
        <c:noMultiLvlLbl val="0"/>
      </c:catAx>
      <c:valAx>
        <c:axId val="703009552"/>
        <c:scaling>
          <c:orientation val="minMax"/>
          <c:max val="8.5"/>
          <c:min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 sz="1000" b="0" i="0" u="none" strike="noStrike" kern="1200" baseline="0">
                    <a:solidFill>
                      <a:sysClr val="windowText" lastClr="000000"/>
                    </a:solidFill>
                  </a:rPr>
                  <a:t>MgO wt.%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703009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accent1"/>
              </a:solidFill>
              <a:ln w="3175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2700" cap="rnd">
                <a:solidFill>
                  <a:schemeClr val="tx1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49146609798775154"/>
                  <c:y val="-5.1502288958066286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fi-FI"/>
                </a:p>
              </c:txPr>
            </c:trendlineLbl>
          </c:trendline>
          <c:xVal>
            <c:numRef>
              <c:f>'Palojärvi whole-rock samples'!$G$2:$G$35</c:f>
              <c:numCache>
                <c:formatCode>0.00</c:formatCode>
                <c:ptCount val="34"/>
                <c:pt idx="0">
                  <c:v>11.679169684472152</c:v>
                </c:pt>
                <c:pt idx="1">
                  <c:v>8.2036146517882269</c:v>
                </c:pt>
                <c:pt idx="2">
                  <c:v>15.964981462609233</c:v>
                </c:pt>
                <c:pt idx="3">
                  <c:v>10.560169480888138</c:v>
                </c:pt>
                <c:pt idx="4">
                  <c:v>9.4114111765969142</c:v>
                </c:pt>
                <c:pt idx="5">
                  <c:v>5.3650867045264743</c:v>
                </c:pt>
                <c:pt idx="6">
                  <c:v>13.813975288073962</c:v>
                </c:pt>
                <c:pt idx="7">
                  <c:v>9.1761332735897856</c:v>
                </c:pt>
                <c:pt idx="8">
                  <c:v>31.790066474987185</c:v>
                </c:pt>
                <c:pt idx="9">
                  <c:v>29.943578501807682</c:v>
                </c:pt>
                <c:pt idx="10">
                  <c:v>12.115607317686493</c:v>
                </c:pt>
                <c:pt idx="11">
                  <c:v>10.690062613520393</c:v>
                </c:pt>
                <c:pt idx="12">
                  <c:v>6.1824405264611793</c:v>
                </c:pt>
                <c:pt idx="13">
                  <c:v>13.234257446722404</c:v>
                </c:pt>
                <c:pt idx="14">
                  <c:v>14.096257082001609</c:v>
                </c:pt>
                <c:pt idx="15">
                  <c:v>7.0920270738247888</c:v>
                </c:pt>
                <c:pt idx="16">
                  <c:v>36.120875647235685</c:v>
                </c:pt>
                <c:pt idx="17">
                  <c:v>12.528984222926697</c:v>
                </c:pt>
                <c:pt idx="18">
                  <c:v>11.928183756213505</c:v>
                </c:pt>
                <c:pt idx="19">
                  <c:v>9.0901350562474637</c:v>
                </c:pt>
                <c:pt idx="20">
                  <c:v>19.326607393484004</c:v>
                </c:pt>
                <c:pt idx="21">
                  <c:v>9.422746747108345</c:v>
                </c:pt>
                <c:pt idx="22">
                  <c:v>7.2919569924046002</c:v>
                </c:pt>
                <c:pt idx="23">
                  <c:v>8.3654327782659532</c:v>
                </c:pt>
                <c:pt idx="24">
                  <c:v>8.3347152203183565</c:v>
                </c:pt>
                <c:pt idx="25">
                  <c:v>8.4948871181376742</c:v>
                </c:pt>
                <c:pt idx="26">
                  <c:v>9.8056526327681208</c:v>
                </c:pt>
                <c:pt idx="27">
                  <c:v>14.326733176125014</c:v>
                </c:pt>
                <c:pt idx="28">
                  <c:v>14.25283807677121</c:v>
                </c:pt>
                <c:pt idx="29">
                  <c:v>14.020062224934101</c:v>
                </c:pt>
                <c:pt idx="30">
                  <c:v>15.82706333131067</c:v>
                </c:pt>
                <c:pt idx="31">
                  <c:v>13.042516601911176</c:v>
                </c:pt>
                <c:pt idx="32">
                  <c:v>9.2733401902037755</c:v>
                </c:pt>
                <c:pt idx="33">
                  <c:v>13.905143052594347</c:v>
                </c:pt>
              </c:numCache>
            </c:numRef>
          </c:xVal>
          <c:yVal>
            <c:numRef>
              <c:f>'Palojärvi whole-rock samples'!$F$2:$F$35</c:f>
              <c:numCache>
                <c:formatCode>0.00</c:formatCode>
                <c:ptCount val="34"/>
                <c:pt idx="0">
                  <c:v>7.2966231650040392</c:v>
                </c:pt>
                <c:pt idx="1">
                  <c:v>4.4175867631029844</c:v>
                </c:pt>
                <c:pt idx="2">
                  <c:v>22.064080246450082</c:v>
                </c:pt>
                <c:pt idx="3">
                  <c:v>7.7807064929992951</c:v>
                </c:pt>
                <c:pt idx="4">
                  <c:v>7.3644564861404698</c:v>
                </c:pt>
                <c:pt idx="5">
                  <c:v>4.3992755798231915</c:v>
                </c:pt>
                <c:pt idx="6">
                  <c:v>8.7887415473069233</c:v>
                </c:pt>
                <c:pt idx="7">
                  <c:v>5.4107546956879693</c:v>
                </c:pt>
                <c:pt idx="8">
                  <c:v>44.291154527820012</c:v>
                </c:pt>
                <c:pt idx="9">
                  <c:v>42.380034710050062</c:v>
                </c:pt>
                <c:pt idx="10">
                  <c:v>4.9599743752243235</c:v>
                </c:pt>
                <c:pt idx="11">
                  <c:v>7.8718137564755253</c:v>
                </c:pt>
                <c:pt idx="12">
                  <c:v>5.0834898346658841</c:v>
                </c:pt>
                <c:pt idx="13">
                  <c:v>12.538814658219687</c:v>
                </c:pt>
                <c:pt idx="14">
                  <c:v>13.761525076020412</c:v>
                </c:pt>
                <c:pt idx="15">
                  <c:v>3.9282997051776638</c:v>
                </c:pt>
                <c:pt idx="16">
                  <c:v>52.13731503260189</c:v>
                </c:pt>
                <c:pt idx="17">
                  <c:v>10.448894323752558</c:v>
                </c:pt>
                <c:pt idx="18">
                  <c:v>8.4208654197025563</c:v>
                </c:pt>
                <c:pt idx="19">
                  <c:v>6.3626248561245129</c:v>
                </c:pt>
                <c:pt idx="20">
                  <c:v>18.826185989663472</c:v>
                </c:pt>
                <c:pt idx="21">
                  <c:v>5.68280745125604</c:v>
                </c:pt>
                <c:pt idx="22">
                  <c:v>3.6960470261273732</c:v>
                </c:pt>
                <c:pt idx="23">
                  <c:v>4.5915668717580944</c:v>
                </c:pt>
                <c:pt idx="24">
                  <c:v>4.8166762489986494</c:v>
                </c:pt>
                <c:pt idx="25">
                  <c:v>5.3665418125144804</c:v>
                </c:pt>
                <c:pt idx="26">
                  <c:v>9.5174856304125974</c:v>
                </c:pt>
                <c:pt idx="27">
                  <c:v>13.418000070385277</c:v>
                </c:pt>
                <c:pt idx="28">
                  <c:v>13.219406406555985</c:v>
                </c:pt>
                <c:pt idx="29">
                  <c:v>13.615967179116039</c:v>
                </c:pt>
                <c:pt idx="30">
                  <c:v>15.969616785879708</c:v>
                </c:pt>
                <c:pt idx="31">
                  <c:v>13.816453122016684</c:v>
                </c:pt>
                <c:pt idx="32">
                  <c:v>6.8853668670701671</c:v>
                </c:pt>
                <c:pt idx="33">
                  <c:v>13.404739929139252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2CF-40E6-8F32-D4407666A3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2418543"/>
        <c:axId val="1932416143"/>
      </c:scatterChart>
      <c:valAx>
        <c:axId val="193241854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>
                    <a:solidFill>
                      <a:schemeClr val="tx1"/>
                    </a:solidFill>
                  </a:rPr>
                  <a:t>FeOt/TiO</a:t>
                </a:r>
                <a:r>
                  <a:rPr lang="fi-FI" baseline="-25000">
                    <a:solidFill>
                      <a:schemeClr val="tx1"/>
                    </a:solidFill>
                  </a:rPr>
                  <a:t>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932416143"/>
        <c:crosses val="autoZero"/>
        <c:crossBetween val="midCat"/>
      </c:valAx>
      <c:valAx>
        <c:axId val="1932416143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>
                    <a:solidFill>
                      <a:schemeClr val="tx1"/>
                    </a:solidFill>
                  </a:rPr>
                  <a:t>MgO/TiO</a:t>
                </a:r>
                <a:r>
                  <a:rPr lang="fi-FI" baseline="-25000">
                    <a:solidFill>
                      <a:schemeClr val="tx1"/>
                    </a:solidFill>
                  </a:rPr>
                  <a:t>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93241854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triangle"/>
            <c:size val="8"/>
            <c:spPr>
              <a:solidFill>
                <a:srgbClr val="FF0000"/>
              </a:solidFill>
              <a:ln w="3175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2700" cap="rnd">
                <a:solidFill>
                  <a:schemeClr val="tx1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7649349656535651"/>
                  <c:y val="3.2520778652668419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fi-FI"/>
                </a:p>
              </c:txPr>
            </c:trendlineLbl>
          </c:trendline>
          <c:xVal>
            <c:numRef>
              <c:f>'Matokulma whole-rock samples'!$E$2:$E$20</c:f>
              <c:numCache>
                <c:formatCode>0.00</c:formatCode>
                <c:ptCount val="19"/>
                <c:pt idx="0">
                  <c:v>1.1973085319236316</c:v>
                </c:pt>
                <c:pt idx="1">
                  <c:v>0.78282836779725617</c:v>
                </c:pt>
                <c:pt idx="2">
                  <c:v>0.99267763704584999</c:v>
                </c:pt>
                <c:pt idx="3">
                  <c:v>1.4301737326636121</c:v>
                </c:pt>
                <c:pt idx="4">
                  <c:v>1.5600053860069034</c:v>
                </c:pt>
                <c:pt idx="5">
                  <c:v>0.70007624768967214</c:v>
                </c:pt>
                <c:pt idx="6">
                  <c:v>0.6041414253591848</c:v>
                </c:pt>
                <c:pt idx="7">
                  <c:v>1.6610932775838376</c:v>
                </c:pt>
                <c:pt idx="8">
                  <c:v>0.6799624553498812</c:v>
                </c:pt>
                <c:pt idx="9">
                  <c:v>1.3883413849543944</c:v>
                </c:pt>
                <c:pt idx="10">
                  <c:v>1.580438812289231</c:v>
                </c:pt>
                <c:pt idx="11">
                  <c:v>1.5758240617557977</c:v>
                </c:pt>
                <c:pt idx="12">
                  <c:v>0.59382363800122018</c:v>
                </c:pt>
                <c:pt idx="13">
                  <c:v>2.125967161450542</c:v>
                </c:pt>
                <c:pt idx="14">
                  <c:v>2.3858890560366079</c:v>
                </c:pt>
                <c:pt idx="15">
                  <c:v>1.1888762858156035</c:v>
                </c:pt>
                <c:pt idx="16">
                  <c:v>1.7831614024496178</c:v>
                </c:pt>
                <c:pt idx="17">
                  <c:v>1.4656412685783617</c:v>
                </c:pt>
                <c:pt idx="18">
                  <c:v>0.67486385237827906</c:v>
                </c:pt>
              </c:numCache>
            </c:numRef>
          </c:xVal>
          <c:yVal>
            <c:numRef>
              <c:f>'Matokulma whole-rock samples'!$D$2:$D$20</c:f>
              <c:numCache>
                <c:formatCode>0.00</c:formatCode>
                <c:ptCount val="19"/>
                <c:pt idx="0">
                  <c:v>2.7351555517214852</c:v>
                </c:pt>
                <c:pt idx="1">
                  <c:v>1.641452520262173</c:v>
                </c:pt>
                <c:pt idx="2">
                  <c:v>2.1732323167620939</c:v>
                </c:pt>
                <c:pt idx="3">
                  <c:v>2.7976601343997114</c:v>
                </c:pt>
                <c:pt idx="4">
                  <c:v>3.6859751795727411</c:v>
                </c:pt>
                <c:pt idx="5">
                  <c:v>1.4640113317615608</c:v>
                </c:pt>
                <c:pt idx="6">
                  <c:v>1.1673604248815708</c:v>
                </c:pt>
                <c:pt idx="7">
                  <c:v>3.9884458836922971</c:v>
                </c:pt>
                <c:pt idx="8">
                  <c:v>1.5190892406823289</c:v>
                </c:pt>
                <c:pt idx="9">
                  <c:v>3.0812577893604076</c:v>
                </c:pt>
                <c:pt idx="10">
                  <c:v>3.6314133316429706</c:v>
                </c:pt>
                <c:pt idx="11">
                  <c:v>3.4347205395803915</c:v>
                </c:pt>
                <c:pt idx="12">
                  <c:v>1.3057726527113378</c:v>
                </c:pt>
                <c:pt idx="13">
                  <c:v>5.3131670732974792</c:v>
                </c:pt>
                <c:pt idx="14">
                  <c:v>5.9690697611401937</c:v>
                </c:pt>
                <c:pt idx="15">
                  <c:v>2.5592170108769747</c:v>
                </c:pt>
                <c:pt idx="16">
                  <c:v>4.1481781474305821</c:v>
                </c:pt>
                <c:pt idx="17">
                  <c:v>2.8732413794728351</c:v>
                </c:pt>
                <c:pt idx="18">
                  <c:v>1.2513195339249472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31B-42F4-8D24-67A4FB33D8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2478687"/>
        <c:axId val="1932479167"/>
      </c:scatterChart>
      <c:valAx>
        <c:axId val="19324786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FeOt/Al</a:t>
                </a:r>
                <a:r>
                  <a:rPr lang="fi-FI" sz="1000" b="0" i="0" u="none" strike="noStrike" kern="1200" baseline="-250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2</a:t>
                </a:r>
                <a:r>
                  <a:rPr lang="fi-FI"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O</a:t>
                </a:r>
                <a:r>
                  <a:rPr lang="fi-FI" sz="1000" b="0" i="0" u="none" strike="noStrike" kern="1200" baseline="-250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3</a:t>
                </a:r>
                <a:r>
                  <a:rPr lang="fi-FI"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molar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1932479167"/>
        <c:crosses val="autoZero"/>
        <c:crossBetween val="midCat"/>
      </c:valAx>
      <c:valAx>
        <c:axId val="1932479167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MgO/</a:t>
                </a:r>
                <a:r>
                  <a:rPr lang="fi-FI" sz="1000" b="0" i="0" u="none" strike="noStrike" kern="1200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Al</a:t>
                </a:r>
                <a:r>
                  <a:rPr lang="fi-FI" sz="1000" b="0" i="0" u="none" strike="noStrike" kern="1200" baseline="-2500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2</a:t>
                </a:r>
                <a:r>
                  <a:rPr lang="fi-FI" sz="1000" b="0" i="0" u="none" strike="noStrike" kern="1200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O</a:t>
                </a:r>
                <a:r>
                  <a:rPr lang="fi-FI" sz="1000" b="0" i="0" u="none" strike="noStrike" kern="1200" baseline="-2500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3</a:t>
                </a:r>
                <a:r>
                  <a:rPr lang="fi-FI"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molar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193247868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FeOt/Al2O3 vs MgO/Al2O3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FeOt/Al2O3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8.5463078926619168E-2"/>
                  <c:y val="0.244251603966170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i-FI"/>
                </a:p>
              </c:txPr>
            </c:trendlineLbl>
          </c:trendline>
          <c:xVal>
            <c:numLit>
              <c:formatCode>General</c:formatCode>
              <c:ptCount val="26"/>
              <c:pt idx="0">
                <c:v>1.4185342148982678</c:v>
              </c:pt>
              <c:pt idx="1">
                <c:v>0.87428078615858618</c:v>
              </c:pt>
              <c:pt idx="2">
                <c:v>0.68700544221244741</c:v>
              </c:pt>
              <c:pt idx="3">
                <c:v>1.3156561312730255</c:v>
              </c:pt>
              <c:pt idx="4">
                <c:v>1.4537316333291672</c:v>
              </c:pt>
              <c:pt idx="5">
                <c:v>0.73674657136553912</c:v>
              </c:pt>
              <c:pt idx="6">
                <c:v>1.4501472925773304</c:v>
              </c:pt>
              <c:pt idx="7">
                <c:v>1.0832440961815715</c:v>
              </c:pt>
              <c:pt idx="8">
                <c:v>0.99511008972167347</c:v>
              </c:pt>
              <c:pt idx="9">
                <c:v>1.8429871820948152</c:v>
              </c:pt>
              <c:pt idx="10">
                <c:v>0.58188686583396887</c:v>
              </c:pt>
              <c:pt idx="11">
                <c:v>1.2317272172663398</c:v>
              </c:pt>
              <c:pt idx="12">
                <c:v>1.3247983252861653</c:v>
              </c:pt>
              <c:pt idx="13">
                <c:v>2.0164296820179275</c:v>
              </c:pt>
              <c:pt idx="14">
                <c:v>0.86422819134051732</c:v>
              </c:pt>
              <c:pt idx="15">
                <c:v>1.168334944595246</c:v>
              </c:pt>
              <c:pt idx="16">
                <c:v>1.4644307058770047</c:v>
              </c:pt>
              <c:pt idx="17">
                <c:v>0.35330039368080102</c:v>
              </c:pt>
              <c:pt idx="18">
                <c:v>1.27873286809396</c:v>
              </c:pt>
              <c:pt idx="19">
                <c:v>1.1973672401313959</c:v>
              </c:pt>
              <c:pt idx="20">
                <c:v>1.0222643052874509</c:v>
              </c:pt>
              <c:pt idx="21">
                <c:v>1.1410539223050824</c:v>
              </c:pt>
              <c:pt idx="22">
                <c:v>0.99920874783800973</c:v>
              </c:pt>
              <c:pt idx="23">
                <c:v>1.0418503722469876</c:v>
              </c:pt>
              <c:pt idx="24">
                <c:v>1.0651553214999729</c:v>
              </c:pt>
              <c:pt idx="25">
                <c:v>1.1111762840430008</c:v>
              </c:pt>
            </c:numLit>
          </c:xVal>
          <c:yVal>
            <c:numLit>
              <c:formatCode>General</c:formatCode>
              <c:ptCount val="26"/>
              <c:pt idx="0">
                <c:v>0.88623676960005937</c:v>
              </c:pt>
              <c:pt idx="1">
                <c:v>0.47079383809520536</c:v>
              </c:pt>
              <c:pt idx="2">
                <c:v>0.94946199857635161</c:v>
              </c:pt>
              <c:pt idx="3">
                <c:v>0.96937215086148665</c:v>
              </c:pt>
              <c:pt idx="4">
                <c:v>1.1375492107709337</c:v>
              </c:pt>
              <c:pt idx="5">
                <c:v>0.60411907177424562</c:v>
              </c:pt>
              <c:pt idx="6">
                <c:v>0.92261420005522687</c:v>
              </c:pt>
              <c:pt idx="7">
                <c:v>0.63874051359519624</c:v>
              </c:pt>
              <c:pt idx="8">
                <c:v>1.3864260016799239</c:v>
              </c:pt>
              <c:pt idx="9">
                <c:v>2.6084344175042542</c:v>
              </c:pt>
              <c:pt idx="10">
                <c:v>0.23821702603408546</c:v>
              </c:pt>
              <c:pt idx="11">
                <c:v>0.90700378507039281</c:v>
              </c:pt>
              <c:pt idx="12">
                <c:v>1.0893107326710485</c:v>
              </c:pt>
              <c:pt idx="13">
                <c:v>1.9104689595121482</c:v>
              </c:pt>
              <c:pt idx="14">
                <c:v>0.84370608859862872</c:v>
              </c:pt>
              <c:pt idx="15">
                <c:v>0.64714499403723713</c:v>
              </c:pt>
              <c:pt idx="16">
                <c:v>2.1137772461938669</c:v>
              </c:pt>
              <c:pt idx="17">
                <c:v>0.29464467449449228</c:v>
              </c:pt>
              <c:pt idx="18">
                <c:v>0.90273905986402381</c:v>
              </c:pt>
              <c:pt idx="19">
                <c:v>0.8380952006574709</c:v>
              </c:pt>
              <c:pt idx="20">
                <c:v>0.99579494476740205</c:v>
              </c:pt>
              <c:pt idx="21">
                <c:v>0.68816343110889444</c:v>
              </c:pt>
              <c:pt idx="22">
                <c:v>0.50646520882856794</c:v>
              </c:pt>
              <c:pt idx="23">
                <c:v>0.57184437211265382</c:v>
              </c:pt>
              <c:pt idx="24">
                <c:v>0.61555892468362861</c:v>
              </c:pt>
              <c:pt idx="25">
                <c:v>0.70197212822982535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E2AA-4F31-9470-E4D67E5EE3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5880864"/>
        <c:axId val="229539952"/>
      </c:scatterChart>
      <c:valAx>
        <c:axId val="225880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/>
                  <a:t>FeOt / Al2O3 molar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229539952"/>
        <c:crosses val="autoZero"/>
        <c:crossBetween val="midCat"/>
      </c:valAx>
      <c:valAx>
        <c:axId val="22953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/>
                  <a:t>MgO / Al2O3 molar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2258808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FeOt/TiO2 vs</a:t>
            </a:r>
            <a:r>
              <a:rPr lang="en-US" baseline="0"/>
              <a:t> MgO/TiO2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FeOt/TiO2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2684504228010993"/>
                  <c:y val="-4.9275354821354202E-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i-FI"/>
                </a:p>
              </c:txPr>
            </c:trendlineLbl>
          </c:trendline>
          <c:xVal>
            <c:numLit>
              <c:formatCode>General</c:formatCode>
              <c:ptCount val="26"/>
              <c:pt idx="0">
                <c:v>11.679169684472122</c:v>
              </c:pt>
              <c:pt idx="1">
                <c:v>8.2036146517882269</c:v>
              </c:pt>
              <c:pt idx="2">
                <c:v>15.964981462609233</c:v>
              </c:pt>
              <c:pt idx="3">
                <c:v>10.560169480888138</c:v>
              </c:pt>
              <c:pt idx="4">
                <c:v>9.4114111765969142</c:v>
              </c:pt>
              <c:pt idx="5">
                <c:v>5.3650867045264743</c:v>
              </c:pt>
              <c:pt idx="6">
                <c:v>13.813975288073962</c:v>
              </c:pt>
              <c:pt idx="7">
                <c:v>9.1761332735897856</c:v>
              </c:pt>
              <c:pt idx="8">
                <c:v>31.790066474987185</c:v>
              </c:pt>
              <c:pt idx="9">
                <c:v>29.943578501807682</c:v>
              </c:pt>
              <c:pt idx="10">
                <c:v>12.115607317686493</c:v>
              </c:pt>
              <c:pt idx="11">
                <c:v>10.690062613520393</c:v>
              </c:pt>
              <c:pt idx="12">
                <c:v>6.1824405264611793</c:v>
              </c:pt>
              <c:pt idx="13">
                <c:v>13.234257446722404</c:v>
              </c:pt>
              <c:pt idx="14">
                <c:v>14.096257082001609</c:v>
              </c:pt>
              <c:pt idx="15">
                <c:v>7.0920270738247888</c:v>
              </c:pt>
              <c:pt idx="16">
                <c:v>36.120875647235685</c:v>
              </c:pt>
              <c:pt idx="17">
                <c:v>12.528984222926697</c:v>
              </c:pt>
              <c:pt idx="18">
                <c:v>11.928183756213505</c:v>
              </c:pt>
              <c:pt idx="19">
                <c:v>9.0901350562474637</c:v>
              </c:pt>
              <c:pt idx="20">
                <c:v>19.326607393484004</c:v>
              </c:pt>
              <c:pt idx="21">
                <c:v>9.422746747108345</c:v>
              </c:pt>
              <c:pt idx="22">
                <c:v>7.2919569924046002</c:v>
              </c:pt>
              <c:pt idx="23">
                <c:v>8.3654327782659532</c:v>
              </c:pt>
              <c:pt idx="24">
                <c:v>8.3347152203183565</c:v>
              </c:pt>
              <c:pt idx="25">
                <c:v>8.4948871181376742</c:v>
              </c:pt>
            </c:numLit>
          </c:xVal>
          <c:yVal>
            <c:numLit>
              <c:formatCode>General</c:formatCode>
              <c:ptCount val="26"/>
              <c:pt idx="0">
                <c:v>7.2966231650040392</c:v>
              </c:pt>
              <c:pt idx="1">
                <c:v>4.4175867631029844</c:v>
              </c:pt>
              <c:pt idx="2">
                <c:v>22.064080246450082</c:v>
              </c:pt>
              <c:pt idx="3">
                <c:v>7.7807064929992951</c:v>
              </c:pt>
              <c:pt idx="4">
                <c:v>7.3644564861404698</c:v>
              </c:pt>
              <c:pt idx="5">
                <c:v>4.3992755798231915</c:v>
              </c:pt>
              <c:pt idx="6">
                <c:v>8.7887415473069233</c:v>
              </c:pt>
              <c:pt idx="7">
                <c:v>5.4107546956879693</c:v>
              </c:pt>
              <c:pt idx="8">
                <c:v>44.291154527820012</c:v>
              </c:pt>
              <c:pt idx="9">
                <c:v>42.380034710050062</c:v>
              </c:pt>
              <c:pt idx="10">
                <c:v>4.9599743752243235</c:v>
              </c:pt>
              <c:pt idx="11">
                <c:v>7.8718137564755253</c:v>
              </c:pt>
              <c:pt idx="12">
                <c:v>5.0834898346658841</c:v>
              </c:pt>
              <c:pt idx="13">
                <c:v>12.538814658219687</c:v>
              </c:pt>
              <c:pt idx="14">
                <c:v>13.761525076020412</c:v>
              </c:pt>
              <c:pt idx="15">
                <c:v>3.9282997051776638</c:v>
              </c:pt>
              <c:pt idx="16">
                <c:v>52.13731503260189</c:v>
              </c:pt>
              <c:pt idx="17">
                <c:v>10.448894323752558</c:v>
              </c:pt>
              <c:pt idx="18">
                <c:v>8.4208654197025563</c:v>
              </c:pt>
              <c:pt idx="19">
                <c:v>6.3626248561245129</c:v>
              </c:pt>
              <c:pt idx="20">
                <c:v>18.826185989663472</c:v>
              </c:pt>
              <c:pt idx="21">
                <c:v>5.68280745125604</c:v>
              </c:pt>
              <c:pt idx="22">
                <c:v>3.6960470261273732</c:v>
              </c:pt>
              <c:pt idx="23">
                <c:v>4.5915668717580944</c:v>
              </c:pt>
              <c:pt idx="24">
                <c:v>4.8166762489986494</c:v>
              </c:pt>
              <c:pt idx="25">
                <c:v>5.3665418125144804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4193-4AB6-9F9F-F24E16CEA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8140080"/>
        <c:axId val="229552048"/>
      </c:scatterChart>
      <c:valAx>
        <c:axId val="2281400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/>
                  <a:t>FeOt / TiO2 molar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229552048"/>
        <c:crosses val="autoZero"/>
        <c:crossBetween val="midCat"/>
      </c:valAx>
      <c:valAx>
        <c:axId val="22955204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/>
                  <a:t>MgO / TiO2 molar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2281400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175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2700" cap="rnd">
                <a:solidFill>
                  <a:schemeClr val="tx1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49146609798775154"/>
                  <c:y val="-5.1502288958066286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i-FI"/>
                </a:p>
              </c:txPr>
            </c:trendlineLbl>
          </c:trendline>
          <c:xVal>
            <c:numRef>
              <c:f>'Palojärvi whole-rock samples'!$G$2:$G$35</c:f>
              <c:numCache>
                <c:formatCode>0.00</c:formatCode>
                <c:ptCount val="34"/>
                <c:pt idx="0">
                  <c:v>11.679169684472152</c:v>
                </c:pt>
                <c:pt idx="1">
                  <c:v>8.2036146517882269</c:v>
                </c:pt>
                <c:pt idx="2">
                  <c:v>15.964981462609233</c:v>
                </c:pt>
                <c:pt idx="3">
                  <c:v>10.560169480888138</c:v>
                </c:pt>
                <c:pt idx="4">
                  <c:v>9.4114111765969142</c:v>
                </c:pt>
                <c:pt idx="5">
                  <c:v>5.3650867045264743</c:v>
                </c:pt>
                <c:pt idx="6">
                  <c:v>13.813975288073962</c:v>
                </c:pt>
                <c:pt idx="7">
                  <c:v>9.1761332735897856</c:v>
                </c:pt>
                <c:pt idx="8">
                  <c:v>31.790066474987185</c:v>
                </c:pt>
                <c:pt idx="9">
                  <c:v>29.943578501807682</c:v>
                </c:pt>
                <c:pt idx="10">
                  <c:v>12.115607317686493</c:v>
                </c:pt>
                <c:pt idx="11">
                  <c:v>10.690062613520393</c:v>
                </c:pt>
                <c:pt idx="12">
                  <c:v>6.1824405264611793</c:v>
                </c:pt>
                <c:pt idx="13">
                  <c:v>13.234257446722404</c:v>
                </c:pt>
                <c:pt idx="14">
                  <c:v>14.096257082001609</c:v>
                </c:pt>
                <c:pt idx="15">
                  <c:v>7.0920270738247888</c:v>
                </c:pt>
                <c:pt idx="16">
                  <c:v>36.120875647235685</c:v>
                </c:pt>
                <c:pt idx="17">
                  <c:v>12.528984222926697</c:v>
                </c:pt>
                <c:pt idx="18">
                  <c:v>11.928183756213505</c:v>
                </c:pt>
                <c:pt idx="19">
                  <c:v>9.0901350562474637</c:v>
                </c:pt>
                <c:pt idx="20">
                  <c:v>19.326607393484004</c:v>
                </c:pt>
                <c:pt idx="21">
                  <c:v>9.422746747108345</c:v>
                </c:pt>
                <c:pt idx="22">
                  <c:v>7.2919569924046002</c:v>
                </c:pt>
                <c:pt idx="23">
                  <c:v>8.3654327782659532</c:v>
                </c:pt>
                <c:pt idx="24">
                  <c:v>8.3347152203183565</c:v>
                </c:pt>
                <c:pt idx="25">
                  <c:v>8.4948871181376742</c:v>
                </c:pt>
                <c:pt idx="26">
                  <c:v>9.8056526327681208</c:v>
                </c:pt>
                <c:pt idx="27">
                  <c:v>14.326733176125014</c:v>
                </c:pt>
                <c:pt idx="28">
                  <c:v>14.25283807677121</c:v>
                </c:pt>
                <c:pt idx="29">
                  <c:v>14.020062224934101</c:v>
                </c:pt>
                <c:pt idx="30">
                  <c:v>15.82706333131067</c:v>
                </c:pt>
                <c:pt idx="31">
                  <c:v>13.042516601911176</c:v>
                </c:pt>
                <c:pt idx="32">
                  <c:v>9.2733401902037755</c:v>
                </c:pt>
                <c:pt idx="33">
                  <c:v>13.905143052594347</c:v>
                </c:pt>
              </c:numCache>
            </c:numRef>
          </c:xVal>
          <c:yVal>
            <c:numRef>
              <c:f>'Palojärvi whole-rock samples'!$F$2:$F$35</c:f>
              <c:numCache>
                <c:formatCode>0.00</c:formatCode>
                <c:ptCount val="34"/>
                <c:pt idx="0">
                  <c:v>7.2966231650040392</c:v>
                </c:pt>
                <c:pt idx="1">
                  <c:v>4.4175867631029844</c:v>
                </c:pt>
                <c:pt idx="2">
                  <c:v>22.064080246450082</c:v>
                </c:pt>
                <c:pt idx="3">
                  <c:v>7.7807064929992951</c:v>
                </c:pt>
                <c:pt idx="4">
                  <c:v>7.3644564861404698</c:v>
                </c:pt>
                <c:pt idx="5">
                  <c:v>4.3992755798231915</c:v>
                </c:pt>
                <c:pt idx="6">
                  <c:v>8.7887415473069233</c:v>
                </c:pt>
                <c:pt idx="7">
                  <c:v>5.4107546956879693</c:v>
                </c:pt>
                <c:pt idx="8">
                  <c:v>44.291154527820012</c:v>
                </c:pt>
                <c:pt idx="9">
                  <c:v>42.380034710050062</c:v>
                </c:pt>
                <c:pt idx="10">
                  <c:v>4.9599743752243235</c:v>
                </c:pt>
                <c:pt idx="11">
                  <c:v>7.8718137564755253</c:v>
                </c:pt>
                <c:pt idx="12">
                  <c:v>5.0834898346658841</c:v>
                </c:pt>
                <c:pt idx="13">
                  <c:v>12.538814658219687</c:v>
                </c:pt>
                <c:pt idx="14">
                  <c:v>13.761525076020412</c:v>
                </c:pt>
                <c:pt idx="15">
                  <c:v>3.9282997051776638</c:v>
                </c:pt>
                <c:pt idx="16">
                  <c:v>52.13731503260189</c:v>
                </c:pt>
                <c:pt idx="17">
                  <c:v>10.448894323752558</c:v>
                </c:pt>
                <c:pt idx="18">
                  <c:v>8.4208654197025563</c:v>
                </c:pt>
                <c:pt idx="19">
                  <c:v>6.3626248561245129</c:v>
                </c:pt>
                <c:pt idx="20">
                  <c:v>18.826185989663472</c:v>
                </c:pt>
                <c:pt idx="21">
                  <c:v>5.68280745125604</c:v>
                </c:pt>
                <c:pt idx="22">
                  <c:v>3.6960470261273732</c:v>
                </c:pt>
                <c:pt idx="23">
                  <c:v>4.5915668717580944</c:v>
                </c:pt>
                <c:pt idx="24">
                  <c:v>4.8166762489986494</c:v>
                </c:pt>
                <c:pt idx="25">
                  <c:v>5.3665418125144804</c:v>
                </c:pt>
                <c:pt idx="26">
                  <c:v>9.5174856304125974</c:v>
                </c:pt>
                <c:pt idx="27">
                  <c:v>13.418000070385277</c:v>
                </c:pt>
                <c:pt idx="28">
                  <c:v>13.219406406555985</c:v>
                </c:pt>
                <c:pt idx="29">
                  <c:v>13.615967179116039</c:v>
                </c:pt>
                <c:pt idx="30">
                  <c:v>15.969616785879708</c:v>
                </c:pt>
                <c:pt idx="31">
                  <c:v>13.816453122016684</c:v>
                </c:pt>
                <c:pt idx="32">
                  <c:v>6.8853668670701671</c:v>
                </c:pt>
                <c:pt idx="33">
                  <c:v>13.404739929139252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658-4679-A402-7163F66460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2418543"/>
        <c:axId val="1932416143"/>
      </c:scatterChart>
      <c:valAx>
        <c:axId val="193241854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>
                    <a:solidFill>
                      <a:schemeClr val="tx1"/>
                    </a:solidFill>
                  </a:rPr>
                  <a:t>FeOt/TiO</a:t>
                </a:r>
                <a:r>
                  <a:rPr lang="fi-FI" baseline="-25000">
                    <a:solidFill>
                      <a:schemeClr val="tx1"/>
                    </a:solidFill>
                  </a:rPr>
                  <a:t>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932416143"/>
        <c:crosses val="autoZero"/>
        <c:crossBetween val="midCat"/>
      </c:valAx>
      <c:valAx>
        <c:axId val="1932416143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>
                    <a:solidFill>
                      <a:schemeClr val="tx1"/>
                    </a:solidFill>
                  </a:rPr>
                  <a:t>MgO/TiO</a:t>
                </a:r>
                <a:r>
                  <a:rPr lang="fi-FI" baseline="-25000">
                    <a:solidFill>
                      <a:schemeClr val="tx1"/>
                    </a:solidFill>
                  </a:rPr>
                  <a:t>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93241854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solidFill>
                <a:srgbClr val="FF0000"/>
              </a:solidFill>
              <a:ln w="3175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2700" cap="rnd">
                <a:solidFill>
                  <a:schemeClr val="tx1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7649349656535651"/>
                  <c:y val="3.2520778652668419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fi-FI"/>
                </a:p>
              </c:txPr>
            </c:trendlineLbl>
          </c:trendline>
          <c:xVal>
            <c:numRef>
              <c:f>'Matokulma whole-rock samples'!$E$2:$E$20</c:f>
              <c:numCache>
                <c:formatCode>0.00</c:formatCode>
                <c:ptCount val="19"/>
                <c:pt idx="0">
                  <c:v>1.1973085319236316</c:v>
                </c:pt>
                <c:pt idx="1">
                  <c:v>0.78282836779725617</c:v>
                </c:pt>
                <c:pt idx="2">
                  <c:v>0.99267763704584999</c:v>
                </c:pt>
                <c:pt idx="3">
                  <c:v>1.4301737326636121</c:v>
                </c:pt>
                <c:pt idx="4">
                  <c:v>1.5600053860069034</c:v>
                </c:pt>
                <c:pt idx="5">
                  <c:v>0.70007624768967214</c:v>
                </c:pt>
                <c:pt idx="6">
                  <c:v>0.6041414253591848</c:v>
                </c:pt>
                <c:pt idx="7">
                  <c:v>1.6610932775838376</c:v>
                </c:pt>
                <c:pt idx="8">
                  <c:v>0.6799624553498812</c:v>
                </c:pt>
                <c:pt idx="9">
                  <c:v>1.3883413849543944</c:v>
                </c:pt>
                <c:pt idx="10">
                  <c:v>1.580438812289231</c:v>
                </c:pt>
                <c:pt idx="11">
                  <c:v>1.5758240617557977</c:v>
                </c:pt>
                <c:pt idx="12">
                  <c:v>0.59382363800122018</c:v>
                </c:pt>
                <c:pt idx="13">
                  <c:v>2.125967161450542</c:v>
                </c:pt>
                <c:pt idx="14">
                  <c:v>2.3858890560366079</c:v>
                </c:pt>
                <c:pt idx="15">
                  <c:v>1.1888762858156035</c:v>
                </c:pt>
                <c:pt idx="16">
                  <c:v>1.7831614024496178</c:v>
                </c:pt>
                <c:pt idx="17">
                  <c:v>1.4656412685783617</c:v>
                </c:pt>
                <c:pt idx="18">
                  <c:v>0.67486385237827906</c:v>
                </c:pt>
              </c:numCache>
            </c:numRef>
          </c:xVal>
          <c:yVal>
            <c:numRef>
              <c:f>'Matokulma whole-rock samples'!$D$2:$D$20</c:f>
              <c:numCache>
                <c:formatCode>0.00</c:formatCode>
                <c:ptCount val="19"/>
                <c:pt idx="0">
                  <c:v>2.7351555517214852</c:v>
                </c:pt>
                <c:pt idx="1">
                  <c:v>1.641452520262173</c:v>
                </c:pt>
                <c:pt idx="2">
                  <c:v>2.1732323167620939</c:v>
                </c:pt>
                <c:pt idx="3">
                  <c:v>2.7976601343997114</c:v>
                </c:pt>
                <c:pt idx="4">
                  <c:v>3.6859751795727411</c:v>
                </c:pt>
                <c:pt idx="5">
                  <c:v>1.4640113317615608</c:v>
                </c:pt>
                <c:pt idx="6">
                  <c:v>1.1673604248815708</c:v>
                </c:pt>
                <c:pt idx="7">
                  <c:v>3.9884458836922971</c:v>
                </c:pt>
                <c:pt idx="8">
                  <c:v>1.5190892406823289</c:v>
                </c:pt>
                <c:pt idx="9">
                  <c:v>3.0812577893604076</c:v>
                </c:pt>
                <c:pt idx="10">
                  <c:v>3.6314133316429706</c:v>
                </c:pt>
                <c:pt idx="11">
                  <c:v>3.4347205395803915</c:v>
                </c:pt>
                <c:pt idx="12">
                  <c:v>1.3057726527113378</c:v>
                </c:pt>
                <c:pt idx="13">
                  <c:v>5.3131670732974792</c:v>
                </c:pt>
                <c:pt idx="14">
                  <c:v>5.9690697611401937</c:v>
                </c:pt>
                <c:pt idx="15">
                  <c:v>2.5592170108769747</c:v>
                </c:pt>
                <c:pt idx="16">
                  <c:v>4.1481781474305821</c:v>
                </c:pt>
                <c:pt idx="17">
                  <c:v>2.8732413794728351</c:v>
                </c:pt>
                <c:pt idx="18">
                  <c:v>1.2513195339249472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7E1-42D0-8A0A-A9EEA998B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2478687"/>
        <c:axId val="1932479167"/>
      </c:scatterChart>
      <c:valAx>
        <c:axId val="19324786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FeOt/Al</a:t>
                </a:r>
                <a:r>
                  <a:rPr lang="fi-FI" sz="1000" b="0" i="0" u="none" strike="noStrike" kern="1200" baseline="-250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2</a:t>
                </a:r>
                <a:r>
                  <a:rPr lang="fi-FI"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O</a:t>
                </a:r>
                <a:r>
                  <a:rPr lang="fi-FI" sz="1000" b="0" i="0" u="none" strike="noStrike" kern="1200" baseline="-250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3</a:t>
                </a:r>
                <a:r>
                  <a:rPr lang="fi-FI"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molar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1932479167"/>
        <c:crosses val="autoZero"/>
        <c:crossBetween val="midCat"/>
      </c:valAx>
      <c:valAx>
        <c:axId val="1932479167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MgO/</a:t>
                </a:r>
                <a:r>
                  <a:rPr lang="fi-FI" sz="1000" b="0" i="0" u="none" strike="noStrike" kern="1200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Al</a:t>
                </a:r>
                <a:r>
                  <a:rPr lang="fi-FI" sz="1000" b="0" i="0" u="none" strike="noStrike" kern="1200" baseline="-2500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2</a:t>
                </a:r>
                <a:r>
                  <a:rPr lang="fi-FI" sz="1000" b="0" i="0" u="none" strike="noStrike" kern="1200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O</a:t>
                </a:r>
                <a:r>
                  <a:rPr lang="fi-FI" sz="1000" b="0" i="0" u="none" strike="noStrike" kern="1200" baseline="-2500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3</a:t>
                </a:r>
                <a:r>
                  <a:rPr lang="fi-FI"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molar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193247868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_xlchart.v1.2</cx:f>
      </cx:numDim>
    </cx:data>
    <cx:data id="1">
      <cx:numDim type="val">
        <cx:f>_xlchart.v1.1</cx:f>
      </cx:numDim>
    </cx:data>
    <cx:data id="2">
      <cx:numDim type="val">
        <cx:f>_xlchart.v1.0</cx:f>
      </cx:numDim>
    </cx:data>
    <cx:data id="3">
      <cx:numDim type="val">
        <cx:f>_xlchart.v1.4</cx:f>
      </cx:numDim>
    </cx:data>
    <cx:data id="4">
      <cx:numDim type="val">
        <cx:f>_xlchart.v1.3</cx:f>
      </cx:numDim>
    </cx:data>
  </cx:chartData>
  <cx:chart>
    <cx:title pos="t" align="ctr" overlay="0">
      <cx:tx>
        <cx:txData>
          <cx:v>Calculated parental magma MgO content (wt.%), from mineral chemistry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 sz="1600"/>
          </a:pPr>
          <a:r>
            <a:rPr lang="en-US" sz="1600" b="0" i="0" u="none" strike="noStrike" baseline="0">
              <a:solidFill>
                <a:sysClr val="windowText" lastClr="000000"/>
              </a:solidFill>
              <a:latin typeface="Calibri" panose="020F0502020204030204"/>
            </a:rPr>
            <a:t>Calculated parental magma MgO content (wt.%), from mineral chemistry</a:t>
          </a:r>
        </a:p>
      </cx:txPr>
    </cx:title>
    <cx:plotArea>
      <cx:plotAreaRegion>
        <cx:series layoutId="boxWhisker" uniqueId="{54EE7203-636F-4404-B748-6E339F5951A3}" formatIdx="0">
          <cx:tx>
            <cx:txData>
              <cx:f/>
              <cx:v>Matokulma opx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  <cx:series layoutId="boxWhisker" uniqueId="{00000001-F3E2-4DFA-873C-4B14DDC0F84F}" formatIdx="1">
          <cx:tx>
            <cx:txData>
              <cx:f/>
              <cx:v>Palojärvi opx</cx:v>
            </cx:txData>
          </cx:tx>
          <cx:dataId val="1"/>
          <cx:layoutPr>
            <cx:statistics quartileMethod="exclusive"/>
          </cx:layoutPr>
        </cx:series>
        <cx:series layoutId="boxWhisker" uniqueId="{00000002-F3E2-4DFA-873C-4B14DDC0F84F}" formatIdx="2">
          <cx:tx>
            <cx:txData>
              <cx:f/>
              <cx:v>Palojärvi ol</cx:v>
            </cx:txData>
          </cx:tx>
          <cx:dataId val="2"/>
          <cx:layoutPr>
            <cx:statistics quartileMethod="exclusive"/>
          </cx:layoutPr>
        </cx:series>
        <cx:series layoutId="boxWhisker" uniqueId="{00000001-B276-439C-A084-A34EC29D278C}" formatIdx="3">
          <cx:tx>
            <cx:txData>
              <cx:f/>
              <cx:v>Palojärvi calculated parental magma</cx:v>
            </cx:txData>
          </cx:tx>
          <cx:dataId val="3"/>
          <cx:layoutPr>
            <cx:statistics quartileMethod="exclusive"/>
          </cx:layoutPr>
        </cx:series>
        <cx:series layoutId="boxWhisker" uniqueId="{00000002-B276-439C-A084-A34EC29D278C}" formatIdx="4">
          <cx:tx>
            <cx:txData>
              <cx:f/>
              <cx:v>Matokulma calculated parental magma</cx:v>
            </cx:txData>
          </cx:tx>
          <cx:dataId val="4"/>
          <cx:layoutPr>
            <cx:statistics quartileMethod="exclusive"/>
          </cx:layoutPr>
        </cx:series>
      </cx:plotAreaRegion>
      <cx:axis id="0" hidden="1">
        <cx:catScaling gapWidth="1"/>
        <cx:tickLabels/>
      </cx:axis>
      <cx:axis id="1">
        <cx:valScaling/>
        <cx:title>
          <cx:tx>
            <cx:txData>
              <cx:v>MgO wt. %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ysClr val="windowText" lastClr="000000"/>
                  </a:solidFill>
                  <a:latin typeface="Calibri" panose="020F0502020204030204"/>
                </a:rPr>
                <a:t>MgO wt. %</a:t>
              </a:r>
            </a:p>
          </cx:txPr>
        </cx:title>
        <cx:majorGridlines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1000">
                <a:solidFill>
                  <a:sysClr val="windowText" lastClr="000000"/>
                </a:solidFill>
              </a:defRPr>
            </a:pPr>
            <a:endParaRPr lang="en-US" sz="1000" b="0" i="0" u="none" strike="noStrike" baseline="0">
              <a:solidFill>
                <a:sysClr val="windowText" lastClr="000000"/>
              </a:solidFill>
              <a:latin typeface="Calibri" panose="020F0502020204030204"/>
            </a:endParaRPr>
          </a:p>
        </cx:txPr>
      </cx:axis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 sz="1200">
              <a:solidFill>
                <a:sysClr val="windowText" lastClr="000000"/>
              </a:solidFill>
            </a:defRPr>
          </a:pPr>
          <a:endParaRPr lang="en-US" sz="1200" b="0" i="0" u="none" strike="noStrike" baseline="0">
            <a:solidFill>
              <a:sysClr val="windowText" lastClr="000000"/>
            </a:solidFill>
            <a:latin typeface="Calibri" panose="020F0502020204030204"/>
          </a:endParaRPr>
        </a:p>
      </cx:txPr>
    </cx:legend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_xlchart.v1.6</cx:f>
      </cx:numDim>
    </cx:data>
    <cx:data id="1">
      <cx:numDim type="val">
        <cx:f>_xlchart.v1.8</cx:f>
      </cx:numDim>
    </cx:data>
  </cx:chartData>
  <cx:chart>
    <cx:title pos="t" align="ctr" overlay="0">
      <cx:tx>
        <cx:txData>
          <cx:v>Parental magma MgO content (wt.%), calculated from wholerock chemistry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>
              <a:solidFill>
                <a:sysClr val="windowText" lastClr="000000"/>
              </a:solidFill>
            </a:defRPr>
          </a:pPr>
          <a:r>
            <a:rPr lang="en-US" sz="1400" b="0" i="0" u="none" strike="noStrike" baseline="0">
              <a:solidFill>
                <a:sysClr val="windowText" lastClr="000000"/>
              </a:solidFill>
              <a:latin typeface="Calibri" panose="020F0502020204030204"/>
            </a:rPr>
            <a:t>Parental magma MgO content (wt.%), calculated from wholerock chemistry</a:t>
          </a:r>
        </a:p>
      </cx:txPr>
    </cx:title>
    <cx:plotArea>
      <cx:plotAreaRegion>
        <cx:series layoutId="boxWhisker" uniqueId="{088BB119-7CEE-4355-BA5F-2382F1EDE9FA}">
          <cx:tx>
            <cx:txData>
              <cx:f>_xlchart.v1.5</cx:f>
              <cx:v>MgO liq (kD = 0.33)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  <cx:series layoutId="boxWhisker" uniqueId="{D9287CFA-4E5D-414E-9762-BACD283FAF11}">
          <cx:tx>
            <cx:txData>
              <cx:f>_xlchart.v1.7</cx:f>
              <cx:v>MgO liq (kD = 0.23)</cx:v>
            </cx:txData>
          </cx:tx>
          <cx:dataId val="1"/>
          <cx:layoutPr>
            <cx:visibility meanLine="0" meanMarker="1" nonoutliers="0" outliers="1"/>
            <cx:statistics quartileMethod="exclusive"/>
          </cx:layoutPr>
        </cx:series>
      </cx:plotAreaRegion>
      <cx:axis id="0" hidden="1">
        <cx:catScaling gapWidth="1"/>
        <cx:tickLabels/>
      </cx:axis>
      <cx:axis id="1">
        <cx:valScaling/>
        <cx:title>
          <cx:tx>
            <cx:txData>
              <cx:v>MgO wt.%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 sz="1000">
                  <a:solidFill>
                    <a:sysClr val="windowText" lastClr="000000"/>
                  </a:solidFill>
                </a:defRPr>
              </a:pPr>
              <a:r>
                <a:rPr lang="en-US" sz="1000" b="0" i="0" u="none" strike="noStrike" baseline="0">
                  <a:solidFill>
                    <a:sysClr val="windowText" lastClr="000000"/>
                  </a:solidFill>
                  <a:latin typeface="Calibri" panose="020F0502020204030204"/>
                </a:rPr>
                <a:t>MgO wt.%</a:t>
              </a:r>
            </a:p>
          </cx:txPr>
        </cx:title>
        <cx:majorGridlines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>
                <a:solidFill>
                  <a:sysClr val="windowText" lastClr="000000"/>
                </a:solidFill>
              </a:defRPr>
            </a:pPr>
            <a:endParaRPr lang="en-US" sz="900" b="0" i="0" u="none" strike="noStrike" baseline="0">
              <a:solidFill>
                <a:sysClr val="windowText" lastClr="000000"/>
              </a:solidFill>
              <a:latin typeface="Calibri" panose="020F0502020204030204"/>
            </a:endParaRPr>
          </a:p>
        </cx:txPr>
      </cx:axis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>
              <a:solidFill>
                <a:sysClr val="windowText" lastClr="000000"/>
              </a:solidFill>
            </a:defRPr>
          </a:pPr>
          <a:endParaRPr lang="en-US" sz="900" b="0" i="0" u="none" strike="noStrike" baseline="0">
            <a:solidFill>
              <a:sysClr val="windowText" lastClr="000000"/>
            </a:solidFill>
            <a:latin typeface="Calibri" panose="020F0502020204030204"/>
          </a:endParaRPr>
        </a:p>
      </cx:txPr>
    </cx:legend>
  </cx:chart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_xlchart.v1.10</cx:f>
      </cx:numDim>
    </cx:data>
    <cx:data id="1">
      <cx:numDim type="val">
        <cx:f>_xlchart.v1.12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>
              <a:defRPr sz="1400">
                <a:solidFill>
                  <a:sysClr val="windowText" lastClr="000000"/>
                </a:solidFill>
              </a:defRPr>
            </a:pPr>
            <a:r>
              <a:rPr lang="en-US" sz="1400" b="0" i="0" baseline="0">
                <a:solidFill>
                  <a:sysClr val="windowText" lastClr="000000"/>
                </a:solidFill>
                <a:effectLst/>
              </a:rPr>
              <a:t>Parental magma MgO content (wt.%), calculated from CIPW mineral compositions</a:t>
            </a:r>
            <a:endParaRPr lang="fi-FI" sz="1400">
              <a:solidFill>
                <a:sysClr val="windowText" lastClr="000000"/>
              </a:solidFill>
              <a:effectLst/>
            </a:endParaRPr>
          </a:p>
        </cx:rich>
      </cx:tx>
    </cx:title>
    <cx:plotArea>
      <cx:plotAreaRegion>
        <cx:series layoutId="boxWhisker" uniqueId="{48E5BF18-C22D-4099-9F8F-941045203E43}">
          <cx:tx>
            <cx:txData>
              <cx:f>_xlchart.v1.9</cx:f>
              <cx:v>MgO liq (kD = 0.33)_CIPW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  <cx:series layoutId="boxWhisker" uniqueId="{3DD0468B-5D54-4FBB-A9A5-D1E1E3796DC7}">
          <cx:tx>
            <cx:txData>
              <cx:f>_xlchart.v1.11</cx:f>
              <cx:v>MgO liq (kD = 0.23)_CIPW</cx:v>
            </cx:txData>
          </cx:tx>
          <cx:dataId val="1"/>
          <cx:layoutPr>
            <cx:visibility meanLine="0" meanMarker="1" nonoutliers="0" outliers="1"/>
            <cx:statistics quartileMethod="exclusive"/>
          </cx:layoutPr>
        </cx:series>
      </cx:plotAreaRegion>
      <cx:axis id="0" hidden="1">
        <cx:catScaling gapWidth="1"/>
        <cx:tickLabels/>
        <cx:txPr>
          <a:bodyPr vertOverflow="overflow" horzOverflow="overflow" wrap="square" lIns="0" tIns="0" rIns="0" bIns="0"/>
          <a:lstStyle/>
          <a:p>
            <a:pPr algn="ctr" rtl="0">
              <a:defRPr sz="900" b="0" i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fi-FI">
              <a:solidFill>
                <a:sysClr val="windowText" lastClr="000000"/>
              </a:solidFill>
            </a:endParaRPr>
          </a:p>
        </cx:txPr>
      </cx:axis>
      <cx:axis id="1">
        <cx:valScaling min="3"/>
        <cx:title>
          <cx:tx>
            <cx:txData>
              <cx:v>MgO wt,%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 sz="1000">
                  <a:solidFill>
                    <a:sysClr val="windowText" lastClr="000000"/>
                  </a:solidFill>
                </a:defRPr>
              </a:pPr>
              <a:r>
                <a:rPr lang="en-US" sz="1000" b="0" i="0" u="none" strike="noStrike" baseline="0">
                  <a:solidFill>
                    <a:sysClr val="windowText" lastClr="000000"/>
                  </a:solidFill>
                  <a:latin typeface="Calibri" panose="020F0502020204030204"/>
                </a:rPr>
                <a:t>MgO wt,%</a:t>
              </a:r>
            </a:p>
          </cx:txPr>
        </cx:title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sz="900" b="0" i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fi-FI">
              <a:solidFill>
                <a:sysClr val="windowText" lastClr="000000"/>
              </a:solidFill>
            </a:endParaRPr>
          </a:p>
        </cx:txPr>
      </cx:axis>
    </cx:plotArea>
    <cx:legend pos="t" align="ctr" overlay="0">
      <cx:txPr>
        <a:bodyPr vertOverflow="overflow" horzOverflow="overflow" wrap="square" lIns="0" tIns="0" rIns="0" bIns="0"/>
        <a:lstStyle/>
        <a:p>
          <a:pPr algn="ctr" rtl="0">
            <a:defRPr sz="900" b="0" i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fi-FI">
            <a:solidFill>
              <a:sysClr val="windowText" lastClr="000000"/>
            </a:solidFill>
          </a:endParaRPr>
        </a:p>
      </cx:txPr>
    </cx:legend>
  </cx:chart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_xlchart.v1.14</cx:f>
      </cx:numDim>
    </cx:data>
    <cx:data id="1">
      <cx:numDim type="val">
        <cx:f>_xlchart.v1.16</cx:f>
      </cx:numDim>
    </cx:data>
  </cx:chartData>
  <cx:chart>
    <cx:title pos="t" align="ctr" overlay="0">
      <cx:tx>
        <cx:txData>
          <cx:v>Parental magma MgO content (wt.%), calculated from wholerock chemistry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>
              <a:solidFill>
                <a:sysClr val="windowText" lastClr="000000"/>
              </a:solidFill>
            </a:defRPr>
          </a:pPr>
          <a:r>
            <a:rPr lang="en-US" sz="1400" b="0" i="0" u="none" strike="noStrike" baseline="0">
              <a:solidFill>
                <a:sysClr val="windowText" lastClr="000000"/>
              </a:solidFill>
              <a:latin typeface="Calibri" panose="020F0502020204030204"/>
            </a:rPr>
            <a:t>Parental magma MgO content (wt.%), calculated from wholerock chemistry</a:t>
          </a:r>
        </a:p>
      </cx:txPr>
    </cx:title>
    <cx:plotArea>
      <cx:plotAreaRegion>
        <cx:series layoutId="boxWhisker" uniqueId="{57B9931B-3409-4B70-BFAD-5F80602BE7BE}">
          <cx:tx>
            <cx:txData>
              <cx:f>_xlchart.v1.13</cx:f>
              <cx:v>MgO liq sample (kD = 0.33)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  <cx:series layoutId="boxWhisker" uniqueId="{E45A4716-B4A1-4026-8B95-AC9B47C3404C}">
          <cx:tx>
            <cx:txData>
              <cx:f>_xlchart.v1.15</cx:f>
              <cx:v>MgO liq sample (kD = 0.23)</cx:v>
            </cx:txData>
          </cx:tx>
          <cx:dataId val="1"/>
          <cx:layoutPr>
            <cx:visibility meanLine="0" meanMarker="1" nonoutliers="0" outliers="1"/>
            <cx:statistics quartileMethod="exclusive"/>
          </cx:layoutPr>
        </cx:series>
      </cx:plotAreaRegion>
      <cx:axis id="0" hidden="1">
        <cx:catScaling gapWidth="1"/>
        <cx:tickLabels/>
        <cx:txPr>
          <a:bodyPr vertOverflow="overflow" horzOverflow="overflow" wrap="square" lIns="0" tIns="0" rIns="0" bIns="0"/>
          <a:lstStyle/>
          <a:p>
            <a:pPr algn="ctr" rtl="0">
              <a:defRPr sz="900" b="0" i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fi-FI">
              <a:solidFill>
                <a:sysClr val="windowText" lastClr="000000"/>
              </a:solidFill>
            </a:endParaRPr>
          </a:p>
        </cx:txPr>
      </cx:axis>
      <cx:axis id="1">
        <cx:valScaling max="8" min="3"/>
        <cx:title>
          <cx:tx>
            <cx:txData>
              <cx:v>MgO wt.%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ysClr val="windowText" lastClr="000000"/>
                  </a:solidFill>
                  <a:latin typeface="Calibri" panose="020F0502020204030204"/>
                </a:rPr>
                <a:t>MgO wt.%</a:t>
              </a:r>
            </a:p>
          </cx:txPr>
        </cx:title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sz="900" b="0" i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fi-FI">
              <a:solidFill>
                <a:sysClr val="windowText" lastClr="000000"/>
              </a:solidFill>
            </a:endParaRPr>
          </a:p>
        </cx:txPr>
      </cx:axis>
    </cx:plotArea>
    <cx:legend pos="t" align="ctr" overlay="0">
      <cx:txPr>
        <a:bodyPr vertOverflow="overflow" horzOverflow="overflow" wrap="square" lIns="0" tIns="0" rIns="0" bIns="0"/>
        <a:lstStyle/>
        <a:p>
          <a:pPr algn="ctr" rtl="0">
            <a:defRPr sz="900" b="0" i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fi-FI">
            <a:solidFill>
              <a:sysClr val="windowText" lastClr="000000"/>
            </a:solidFill>
          </a:endParaRPr>
        </a:p>
      </cx:txPr>
    </cx:legend>
  </cx:chart>
</cx:chartSpace>
</file>

<file path=xl/charts/chartEx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_xlchart.v1.19</cx:f>
      </cx:numDim>
    </cx:data>
    <cx:data id="1">
      <cx:numDim type="val">
        <cx:f>_xlchart.v1.18</cx:f>
      </cx:numDim>
    </cx:data>
    <cx:data id="2">
      <cx:numDim type="val">
        <cx:f>_xlchart.v1.17</cx:f>
      </cx:numDim>
    </cx:data>
  </cx:chartData>
  <cx:chart>
    <cx:title pos="t" align="ctr" overlay="0">
      <cx:tx>
        <cx:txData>
          <cx:v>Calculated parental magma MgO content (wt.%), from mineral chemistry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/>
              </a:solidFill>
              <a:latin typeface="Calibri" panose="020F0502020204030204"/>
            </a:rPr>
            <a:t>Calculated parental magma MgO content (wt.%), from mineral chemistry</a:t>
          </a:r>
        </a:p>
      </cx:txPr>
    </cx:title>
    <cx:plotArea>
      <cx:plotAreaRegion>
        <cx:series layoutId="boxWhisker" uniqueId="{54EE7203-636F-4404-B748-6E339F5951A3}">
          <cx:tx>
            <cx:txData>
              <cx:f/>
              <cx:v>Matokulma opx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  <cx:series layoutId="boxWhisker" uniqueId="{00000001-F3E2-4DFA-873C-4B14DDC0F84F}">
          <cx:tx>
            <cx:txData>
              <cx:f/>
              <cx:v>Palojärvi opx</cx:v>
            </cx:txData>
          </cx:tx>
          <cx:dataId val="1"/>
          <cx:layoutPr>
            <cx:statistics quartileMethod="exclusive"/>
          </cx:layoutPr>
        </cx:series>
        <cx:series layoutId="boxWhisker" uniqueId="{00000002-F3E2-4DFA-873C-4B14DDC0F84F}">
          <cx:tx>
            <cx:txData>
              <cx:f/>
              <cx:v>Palojärvi ol</cx:v>
            </cx:txData>
          </cx:tx>
          <cx:dataId val="2"/>
          <cx:layoutPr>
            <cx:statistics quartileMethod="exclusive"/>
          </cx:layoutPr>
        </cx:series>
      </cx:plotAreaRegion>
      <cx:axis id="0" hidden="1">
        <cx:catScaling gapWidth="1"/>
        <cx:tickLabels/>
      </cx:axis>
      <cx:axis id="1">
        <cx:valScaling/>
        <cx:title>
          <cx:tx>
            <cx:txData>
              <cx:v>MgO wt. %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/>
              </a:pPr>
              <a:r>
                <a:rPr lang="en-US" sz="900" b="0" i="0" u="none" strike="noStrike" baseline="0">
                  <a:solidFill>
                    <a:sysClr val="windowText" lastClr="000000"/>
                  </a:solidFill>
                  <a:latin typeface="Calibri" panose="020F0502020204030204"/>
                </a:rPr>
                <a:t>MgO wt. %</a:t>
              </a:r>
            </a:p>
          </cx:txPr>
        </cx:title>
        <cx:majorGridlines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>
                <a:solidFill>
                  <a:sysClr val="windowText" lastClr="000000"/>
                </a:solidFill>
              </a:defRPr>
            </a:pPr>
            <a:endParaRPr lang="en-US" sz="900" b="0" i="0" u="none" strike="noStrike" baseline="0">
              <a:solidFill>
                <a:sysClr val="windowText" lastClr="000000"/>
              </a:solidFill>
              <a:latin typeface="Calibri" panose="020F0502020204030204"/>
            </a:endParaRPr>
          </a:p>
        </cx:txPr>
      </cx:axis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>
              <a:solidFill>
                <a:sysClr val="windowText" lastClr="000000"/>
              </a:solidFill>
            </a:defRPr>
          </a:pPr>
          <a:endParaRPr lang="en-US" sz="900" b="0" i="0" u="none" strike="noStrike" baseline="0">
            <a:solidFill>
              <a:sysClr val="windowText" lastClr="000000"/>
            </a:solidFill>
            <a:latin typeface="Calibri" panose="020F0502020204030204"/>
          </a:endParaRPr>
        </a:p>
      </cx:txPr>
    </cx:legend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microsoft.com/office/2014/relationships/chartEx" Target="../charts/chartEx1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microsoft.com/office/2014/relationships/chartEx" Target="../charts/chartEx2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microsoft.com/office/2014/relationships/chartEx" Target="../charts/chartEx4.xml"/><Relationship Id="rId1" Type="http://schemas.microsoft.com/office/2014/relationships/chartEx" Target="../charts/chartEx3.xml"/></Relationships>
</file>

<file path=xl/drawings/_rels/drawing4.xml.rels><?xml version="1.0" encoding="UTF-8" standalone="yes"?>
<Relationships xmlns="http://schemas.openxmlformats.org/package/2006/relationships"><Relationship Id="rId1" Type="http://schemas.microsoft.com/office/2014/relationships/chartEx" Target="../charts/chartEx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23534</xdr:colOff>
      <xdr:row>50</xdr:row>
      <xdr:rowOff>170609</xdr:rowOff>
    </xdr:from>
    <xdr:to>
      <xdr:col>5</xdr:col>
      <xdr:colOff>1406708</xdr:colOff>
      <xdr:row>68</xdr:row>
      <xdr:rowOff>100853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523139E-A777-1947-2DE2-99DF8D1FA8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907674</xdr:colOff>
      <xdr:row>51</xdr:row>
      <xdr:rowOff>12325</xdr:rowOff>
    </xdr:from>
    <xdr:to>
      <xdr:col>16</xdr:col>
      <xdr:colOff>1458439</xdr:colOff>
      <xdr:row>68</xdr:row>
      <xdr:rowOff>118650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ACB1DA2-88F9-9FA6-6731-F19DCE3E08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1400735</xdr:colOff>
      <xdr:row>72</xdr:row>
      <xdr:rowOff>8031</xdr:rowOff>
    </xdr:from>
    <xdr:to>
      <xdr:col>14</xdr:col>
      <xdr:colOff>692337</xdr:colOff>
      <xdr:row>92</xdr:row>
      <xdr:rowOff>130175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Chart 3">
              <a:extLst>
                <a:ext uri="{FF2B5EF4-FFF2-40B4-BE49-F238E27FC236}">
                  <a16:creationId xmlns:a16="http://schemas.microsoft.com/office/drawing/2014/main" id="{8CB0BED9-217C-489E-9364-1C2BF179FBB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998260" y="14120906"/>
              <a:ext cx="6835402" cy="380196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i-FI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14</xdr:col>
      <xdr:colOff>1247028</xdr:colOff>
      <xdr:row>3</xdr:row>
      <xdr:rowOff>0</xdr:rowOff>
    </xdr:from>
    <xdr:to>
      <xdr:col>17</xdr:col>
      <xdr:colOff>408268</xdr:colOff>
      <xdr:row>20</xdr:row>
      <xdr:rowOff>1200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9955A57-EC4A-48CD-98C5-7C8B7E2A31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725208</xdr:colOff>
      <xdr:row>3</xdr:row>
      <xdr:rowOff>171263</xdr:rowOff>
    </xdr:from>
    <xdr:to>
      <xdr:col>6</xdr:col>
      <xdr:colOff>627586</xdr:colOff>
      <xdr:row>21</xdr:row>
      <xdr:rowOff>110939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AEE2DE30-7046-41D6-9DF3-54681A66C9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2400</xdr:colOff>
      <xdr:row>1</xdr:row>
      <xdr:rowOff>13606</xdr:rowOff>
    </xdr:from>
    <xdr:to>
      <xdr:col>24</xdr:col>
      <xdr:colOff>285748</xdr:colOff>
      <xdr:row>12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D1C45D8-7E59-46D1-9C7B-3EB12F0446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301756</xdr:colOff>
      <xdr:row>0</xdr:row>
      <xdr:rowOff>190499</xdr:rowOff>
    </xdr:from>
    <xdr:to>
      <xdr:col>30</xdr:col>
      <xdr:colOff>1033341</xdr:colOff>
      <xdr:row>12</xdr:row>
      <xdr:rowOff>190499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585D390-58DD-445A-8A6C-C652C107C2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17368</xdr:colOff>
      <xdr:row>15</xdr:row>
      <xdr:rowOff>1120</xdr:rowOff>
    </xdr:from>
    <xdr:to>
      <xdr:col>24</xdr:col>
      <xdr:colOff>329452</xdr:colOff>
      <xdr:row>27</xdr:row>
      <xdr:rowOff>105895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6" name="Chart 5">
              <a:extLst>
                <a:ext uri="{FF2B5EF4-FFF2-40B4-BE49-F238E27FC236}">
                  <a16:creationId xmlns:a16="http://schemas.microsoft.com/office/drawing/2014/main" id="{1D68C600-516E-A841-47FD-CA811974D82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3650818" y="2776070"/>
              <a:ext cx="4404659" cy="26352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i-FI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31</xdr:col>
      <xdr:colOff>606425</xdr:colOff>
      <xdr:row>1</xdr:row>
      <xdr:rowOff>153987</xdr:rowOff>
    </xdr:from>
    <xdr:to>
      <xdr:col>39</xdr:col>
      <xdr:colOff>301625</xdr:colOff>
      <xdr:row>16</xdr:row>
      <xdr:rowOff>169862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1D9DDBB-DF79-68ED-EAF8-D450B318C3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1124190</xdr:colOff>
      <xdr:row>20</xdr:row>
      <xdr:rowOff>198025</xdr:rowOff>
    </xdr:from>
    <xdr:to>
      <xdr:col>21</xdr:col>
      <xdr:colOff>1370719</xdr:colOff>
      <xdr:row>34</xdr:row>
      <xdr:rowOff>140554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5" name="Chart 4">
              <a:extLst>
                <a:ext uri="{FF2B5EF4-FFF2-40B4-BE49-F238E27FC236}">
                  <a16:creationId xmlns:a16="http://schemas.microsoft.com/office/drawing/2014/main" id="{EFFEA6A5-21F6-74A1-E06D-A6E02937EEB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735790" y="4023900"/>
              <a:ext cx="5529729" cy="291432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i-FI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13</xdr:col>
      <xdr:colOff>1036542</xdr:colOff>
      <xdr:row>21</xdr:row>
      <xdr:rowOff>23532</xdr:rowOff>
    </xdr:from>
    <xdr:to>
      <xdr:col>17</xdr:col>
      <xdr:colOff>896470</xdr:colOff>
      <xdr:row>34</xdr:row>
      <xdr:rowOff>141593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7" name="Chart 6">
              <a:extLst>
                <a:ext uri="{FF2B5EF4-FFF2-40B4-BE49-F238E27FC236}">
                  <a16:creationId xmlns:a16="http://schemas.microsoft.com/office/drawing/2014/main" id="{AFFB220A-F94F-7CF4-BDFA-938AB0DB5A4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923617" y="4049432"/>
              <a:ext cx="5584453" cy="288983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i-FI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22</xdr:col>
      <xdr:colOff>509866</xdr:colOff>
      <xdr:row>0</xdr:row>
      <xdr:rowOff>0</xdr:rowOff>
    </xdr:from>
    <xdr:to>
      <xdr:col>31</xdr:col>
      <xdr:colOff>285804</xdr:colOff>
      <xdr:row>17</xdr:row>
      <xdr:rowOff>131670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E79A639-1EAF-752C-7605-9C3D6FCD43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16808</xdr:colOff>
      <xdr:row>56</xdr:row>
      <xdr:rowOff>12326</xdr:rowOff>
    </xdr:from>
    <xdr:to>
      <xdr:col>26</xdr:col>
      <xdr:colOff>1680881</xdr:colOff>
      <xdr:row>76</xdr:row>
      <xdr:rowOff>145676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196D6D97-80AF-8C79-F3C0-37096D9DB27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5167908" y="10696201"/>
              <a:ext cx="6585323" cy="39433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i-FI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6568</xdr:colOff>
      <xdr:row>1</xdr:row>
      <xdr:rowOff>123799</xdr:rowOff>
    </xdr:from>
    <xdr:to>
      <xdr:col>16</xdr:col>
      <xdr:colOff>459826</xdr:colOff>
      <xdr:row>20</xdr:row>
      <xdr:rowOff>3380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7025F1C-1715-6460-C402-4EDE08685E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63356" y="314299"/>
          <a:ext cx="5318336" cy="3550369"/>
        </a:xfrm>
        <a:prstGeom prst="rect">
          <a:avLst/>
        </a:prstGeom>
      </xdr:spPr>
    </xdr:pic>
    <xdr:clientData/>
  </xdr:twoCellAnchor>
  <xdr:twoCellAnchor editAs="oneCell">
    <xdr:from>
      <xdr:col>8</xdr:col>
      <xdr:colOff>15610</xdr:colOff>
      <xdr:row>23</xdr:row>
      <xdr:rowOff>6370</xdr:rowOff>
    </xdr:from>
    <xdr:to>
      <xdr:col>14</xdr:col>
      <xdr:colOff>463124</xdr:colOff>
      <xdr:row>37</xdr:row>
      <xdr:rowOff>184867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4743547-7CAB-F504-F053-16514D30D1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45349" y="4445848"/>
          <a:ext cx="4124992" cy="32430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D56E2-6827-4FE0-9C14-E66E7D331A31}">
  <dimension ref="A1:V50"/>
  <sheetViews>
    <sheetView tabSelected="1" zoomScale="85" zoomScaleNormal="85" workbookViewId="0">
      <selection activeCell="B1" sqref="B1"/>
    </sheetView>
  </sheetViews>
  <sheetFormatPr defaultColWidth="8.7109375" defaultRowHeight="14.25" x14ac:dyDescent="0.2"/>
  <cols>
    <col min="1" max="2" width="8.7109375" style="66"/>
    <col min="3" max="3" width="13" style="66" bestFit="1" customWidth="1"/>
    <col min="4" max="4" width="25.7109375" style="66" bestFit="1" customWidth="1"/>
    <col min="5" max="5" width="27.5703125" style="66" bestFit="1" customWidth="1"/>
    <col min="6" max="6" width="23.85546875" style="66" bestFit="1" customWidth="1"/>
    <col min="7" max="7" width="25.5703125" style="66" bestFit="1" customWidth="1"/>
    <col min="8" max="8" width="6.7109375" style="66" bestFit="1" customWidth="1"/>
    <col min="9" max="13" width="8.7109375" style="66"/>
    <col min="14" max="14" width="13" style="66" bestFit="1" customWidth="1"/>
    <col min="15" max="15" width="25.7109375" style="66" bestFit="1" customWidth="1"/>
    <col min="16" max="16" width="27.5703125" style="66" bestFit="1" customWidth="1"/>
    <col min="17" max="17" width="23.85546875" style="66" bestFit="1" customWidth="1"/>
    <col min="18" max="18" width="25.5703125" style="66" bestFit="1" customWidth="1"/>
    <col min="19" max="16384" width="8.7109375" style="66"/>
  </cols>
  <sheetData>
    <row r="1" spans="1:22" ht="15" customHeight="1" x14ac:dyDescent="0.2">
      <c r="A1" s="111"/>
      <c r="B1" s="66" t="s">
        <v>216</v>
      </c>
    </row>
    <row r="3" spans="1:22" ht="23.25" x14ac:dyDescent="0.35">
      <c r="D3" s="108" t="s">
        <v>106</v>
      </c>
      <c r="E3" s="108"/>
      <c r="F3" s="108"/>
      <c r="G3" s="108"/>
      <c r="H3" s="108"/>
      <c r="O3" s="108" t="s">
        <v>107</v>
      </c>
      <c r="P3" s="108"/>
      <c r="Q3" s="108"/>
      <c r="R3" s="108"/>
      <c r="S3" s="84"/>
    </row>
    <row r="9" spans="1:22" ht="15" x14ac:dyDescent="0.25"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</row>
    <row r="23" spans="3:19" ht="21" x14ac:dyDescent="0.35">
      <c r="C23" s="85" t="s">
        <v>210</v>
      </c>
      <c r="D23" s="86">
        <v>1</v>
      </c>
      <c r="E23" s="66" t="s">
        <v>89</v>
      </c>
      <c r="F23" s="66" t="s">
        <v>109</v>
      </c>
      <c r="G23" s="66">
        <f>0.33</f>
        <v>0.33</v>
      </c>
      <c r="H23" s="66">
        <v>0.23</v>
      </c>
      <c r="N23" s="85" t="s">
        <v>210</v>
      </c>
      <c r="O23" s="86">
        <v>1</v>
      </c>
      <c r="P23" s="66" t="s">
        <v>89</v>
      </c>
      <c r="Q23" s="66" t="s">
        <v>109</v>
      </c>
      <c r="R23" s="66">
        <v>0.33</v>
      </c>
      <c r="S23" s="66">
        <v>0.23</v>
      </c>
    </row>
    <row r="24" spans="3:19" ht="18.75" x14ac:dyDescent="0.35">
      <c r="C24" s="66" t="s">
        <v>58</v>
      </c>
      <c r="D24" s="66">
        <f>2.5776</f>
        <v>2.5775999999999999</v>
      </c>
      <c r="E24" s="66">
        <f>100*(D24/(D24+D23))</f>
        <v>72.048300536672627</v>
      </c>
      <c r="F24" s="66" t="s">
        <v>206</v>
      </c>
      <c r="G24" s="70">
        <f>100*(D24*G23)/(D24*G23+D23)</f>
        <v>45.963704901308112</v>
      </c>
      <c r="H24" s="70">
        <f>100*(D24*H23)/(D24*H23+D23)</f>
        <v>37.219370586521755</v>
      </c>
      <c r="N24" s="66" t="s">
        <v>58</v>
      </c>
      <c r="O24" s="66">
        <v>1.6476</v>
      </c>
      <c r="P24" s="66">
        <f>100*O24/(O24+O23)</f>
        <v>62.229944100317269</v>
      </c>
      <c r="Q24" s="66" t="s">
        <v>206</v>
      </c>
      <c r="R24" s="70">
        <f>100*(O24*R23)/(O24*R23+O23)</f>
        <v>35.220909653898275</v>
      </c>
      <c r="S24" s="70">
        <f>100*(O24*S23)/(O24*S23+O23)</f>
        <v>27.480949245366759</v>
      </c>
    </row>
    <row r="25" spans="3:19" ht="18.75" x14ac:dyDescent="0.35">
      <c r="C25" s="66" t="s">
        <v>59</v>
      </c>
      <c r="D25" s="66">
        <f>-0.4252</f>
        <v>-0.42520000000000002</v>
      </c>
      <c r="F25" s="82" t="s">
        <v>211</v>
      </c>
      <c r="G25" s="87">
        <f>10^(((LOG(E24)-LOG(252.7833-0.7825*E24))/0.4602)+1.795)</f>
        <v>7.0567919318972088</v>
      </c>
      <c r="H25" s="87">
        <f>10^((LOG(E24)-LOG(36268.9182-188.1602*E24))/0.4602+6.1409)</f>
        <v>5.1456523257476894</v>
      </c>
      <c r="N25" s="66" t="s">
        <v>59</v>
      </c>
      <c r="O25" s="66">
        <v>-9.2109000000000005</v>
      </c>
      <c r="P25" s="70"/>
      <c r="Q25" s="66" t="s">
        <v>207</v>
      </c>
      <c r="R25" s="70">
        <f>10^(((LOG(P24)-LOG(252.7833-0.7825*P24))/0.4602)+1.795)</f>
        <v>4.7221743458997762</v>
      </c>
      <c r="S25" s="70">
        <f>10^((LOG(P24)-LOG(36268.9182-188.1602*P24))/0.4602+6.1409)</f>
        <v>3.1578219096679785</v>
      </c>
    </row>
    <row r="26" spans="3:19" ht="18.75" x14ac:dyDescent="0.35">
      <c r="C26" s="66" t="s">
        <v>208</v>
      </c>
      <c r="D26" s="66">
        <v>0.97789999999999999</v>
      </c>
      <c r="F26" s="82" t="s">
        <v>212</v>
      </c>
      <c r="G26" s="87">
        <f>((G25/40.3044)/(G24/100)-(G25/40.3044))*D23*71.844</f>
        <v>14.788219681163463</v>
      </c>
      <c r="H26" s="87">
        <f>((H25/40.3044)/(H24/100)-(H25/40.3044))*D23*71.844</f>
        <v>15.47159626408695</v>
      </c>
      <c r="N26" s="66" t="s">
        <v>208</v>
      </c>
      <c r="O26" s="66">
        <v>0.96089999999999998</v>
      </c>
      <c r="Q26" s="66" t="s">
        <v>209</v>
      </c>
      <c r="R26" s="70">
        <f>((R25/40.3044)/(R24/100)-(R25/40.3044))*O23*71.844</f>
        <v>15.481546380696566</v>
      </c>
      <c r="S26" s="70">
        <f>((S25/40.3044)/(S24/100)-(S25/40.3044))*O23*71.844</f>
        <v>14.854090248428891</v>
      </c>
    </row>
    <row r="27" spans="3:19" x14ac:dyDescent="0.2">
      <c r="F27" s="66" t="s">
        <v>61</v>
      </c>
      <c r="G27" s="69">
        <f>(1-$D26)*G25</f>
        <v>0.15595510169492838</v>
      </c>
      <c r="H27" s="69">
        <f>(1-$D26)*H25</f>
        <v>0.11371891639902398</v>
      </c>
      <c r="Q27" s="66" t="s">
        <v>61</v>
      </c>
      <c r="R27" s="69">
        <f>(1-$O26)*R25</f>
        <v>0.18463701692468137</v>
      </c>
      <c r="S27" s="69">
        <f>(1-$O26)*S25</f>
        <v>0.12347083666801803</v>
      </c>
    </row>
    <row r="28" spans="3:19" x14ac:dyDescent="0.2">
      <c r="H28" s="88"/>
      <c r="I28" s="88"/>
      <c r="J28" s="88"/>
      <c r="K28" s="70"/>
    </row>
    <row r="30" spans="3:19" ht="21" x14ac:dyDescent="0.35">
      <c r="C30" s="85" t="s">
        <v>210</v>
      </c>
      <c r="D30" s="86">
        <v>0.9</v>
      </c>
      <c r="E30" s="66" t="s">
        <v>89</v>
      </c>
      <c r="F30" s="66" t="s">
        <v>109</v>
      </c>
      <c r="G30" s="66">
        <f>0.33</f>
        <v>0.33</v>
      </c>
      <c r="H30" s="66">
        <v>0.23</v>
      </c>
      <c r="N30" s="85" t="s">
        <v>210</v>
      </c>
      <c r="O30" s="86">
        <v>0.9</v>
      </c>
      <c r="P30" s="66" t="s">
        <v>89</v>
      </c>
      <c r="Q30" s="66" t="s">
        <v>109</v>
      </c>
      <c r="R30" s="66">
        <v>0.33</v>
      </c>
      <c r="S30" s="66">
        <v>0.23</v>
      </c>
    </row>
    <row r="31" spans="3:19" ht="18.75" x14ac:dyDescent="0.35">
      <c r="C31" s="66" t="s">
        <v>58</v>
      </c>
      <c r="D31" s="66">
        <f>2.5776</f>
        <v>2.5775999999999999</v>
      </c>
      <c r="E31" s="66">
        <f>100*(D31/(D31+D30))</f>
        <v>74.120082815734989</v>
      </c>
      <c r="F31" s="66" t="s">
        <v>206</v>
      </c>
      <c r="G31" s="70">
        <f>100*(D31*G30)/(D31*G30+D30)</f>
        <v>48.589290120917987</v>
      </c>
      <c r="H31" s="70">
        <f>100*(D31*H30)/(D31*H30+D30)</f>
        <v>39.712549435709469</v>
      </c>
      <c r="N31" s="66" t="s">
        <v>58</v>
      </c>
      <c r="O31" s="66">
        <v>1.6476</v>
      </c>
      <c r="P31" s="66">
        <f>100*O31/(O31+O30)</f>
        <v>64.672633066415443</v>
      </c>
      <c r="Q31" s="66" t="s">
        <v>206</v>
      </c>
      <c r="R31" s="70">
        <f>100*(O31*R30)/(O31*R30+O30)</f>
        <v>37.660524150312945</v>
      </c>
      <c r="S31" s="70">
        <f>100*(O31*S30)/(O31*S30+O30)</f>
        <v>29.629664380412656</v>
      </c>
    </row>
    <row r="32" spans="3:19" ht="18.75" x14ac:dyDescent="0.35">
      <c r="C32" s="66" t="s">
        <v>59</v>
      </c>
      <c r="D32" s="66">
        <f>-0.4252</f>
        <v>-0.42520000000000002</v>
      </c>
      <c r="F32" s="82" t="s">
        <v>211</v>
      </c>
      <c r="G32" s="87">
        <f>10^(((LOG(E31)-LOG(252.7833-0.7825*E31))/0.4602)+1.795)</f>
        <v>7.6415790950643974</v>
      </c>
      <c r="H32" s="87">
        <f>10^((LOG(E31)-LOG(36268.9182-188.1602*E31))/0.4602+6.1409)</f>
        <v>5.6824091026774131</v>
      </c>
      <c r="N32" s="66" t="s">
        <v>59</v>
      </c>
      <c r="O32" s="66">
        <v>-9.2109000000000005</v>
      </c>
      <c r="P32" s="70"/>
      <c r="Q32" s="66" t="s">
        <v>207</v>
      </c>
      <c r="R32" s="70">
        <f>10^(((LOG(P31)-LOG(252.7833-0.7825*P31))/0.4602)+1.795)</f>
        <v>5.2403044738931941</v>
      </c>
      <c r="S32" s="70">
        <f>10^((LOG(P31)-LOG(36268.9182-188.1602*P31))/0.4602+6.1409)</f>
        <v>3.5772579962971629</v>
      </c>
    </row>
    <row r="33" spans="3:19" ht="18.75" x14ac:dyDescent="0.35">
      <c r="C33" s="66" t="s">
        <v>208</v>
      </c>
      <c r="D33" s="66">
        <v>0.97789999999999999</v>
      </c>
      <c r="F33" s="82" t="s">
        <v>212</v>
      </c>
      <c r="G33" s="87">
        <f>((G32/40.3044)/(G31/100)-(G32/40.3044))*D30*71.844</f>
        <v>12.971097161726577</v>
      </c>
      <c r="H33" s="87">
        <f>((H32/40.3044)/(H31/100)-(H32/40.3044))*D30*71.844</f>
        <v>13.839238728452287</v>
      </c>
      <c r="N33" s="66" t="s">
        <v>208</v>
      </c>
      <c r="O33" s="66">
        <v>0.96089999999999998</v>
      </c>
      <c r="Q33" s="66" t="s">
        <v>209</v>
      </c>
      <c r="R33" s="70">
        <f>((R32/40.3044)/(R31/100)-(R32/40.3044))*O30*71.844</f>
        <v>13.915982080143545</v>
      </c>
      <c r="S33" s="70">
        <f>((S32/40.3044)/(S31/100)-(S32/40.3044))*O30*71.844</f>
        <v>13.629932547666732</v>
      </c>
    </row>
    <row r="34" spans="3:19" x14ac:dyDescent="0.2">
      <c r="F34" s="66" t="s">
        <v>61</v>
      </c>
      <c r="G34" s="69">
        <f>(1-$D33)*G32</f>
        <v>0.16887889800092323</v>
      </c>
      <c r="H34" s="69">
        <f>(1-$D33)*H32</f>
        <v>0.12558124116917088</v>
      </c>
      <c r="Q34" s="66" t="s">
        <v>61</v>
      </c>
      <c r="R34" s="69">
        <f>(1-$O33)*R32</f>
        <v>0.20489590492922402</v>
      </c>
      <c r="S34" s="69">
        <f>(1-$O33)*S32</f>
        <v>0.13987078765521915</v>
      </c>
    </row>
    <row r="36" spans="3:19" ht="15" thickBot="1" x14ac:dyDescent="0.25">
      <c r="K36" s="88"/>
    </row>
    <row r="37" spans="3:19" ht="21" x14ac:dyDescent="0.35">
      <c r="C37" s="89" t="s">
        <v>210</v>
      </c>
      <c r="D37" s="90">
        <v>0.85</v>
      </c>
      <c r="E37" s="72" t="s">
        <v>89</v>
      </c>
      <c r="F37" s="72" t="s">
        <v>109</v>
      </c>
      <c r="G37" s="72">
        <f>0.33</f>
        <v>0.33</v>
      </c>
      <c r="H37" s="73">
        <v>0.23</v>
      </c>
      <c r="N37" s="89" t="s">
        <v>210</v>
      </c>
      <c r="O37" s="90">
        <v>0.85</v>
      </c>
      <c r="P37" s="72" t="s">
        <v>89</v>
      </c>
      <c r="Q37" s="72" t="s">
        <v>109</v>
      </c>
      <c r="R37" s="72">
        <v>0.33</v>
      </c>
      <c r="S37" s="73">
        <v>0.23</v>
      </c>
    </row>
    <row r="38" spans="3:19" ht="18.75" x14ac:dyDescent="0.35">
      <c r="C38" s="74" t="s">
        <v>58</v>
      </c>
      <c r="D38" s="66">
        <f>2.5776</f>
        <v>2.5775999999999999</v>
      </c>
      <c r="E38" s="66">
        <f>100*(D38/(D38+D37))</f>
        <v>75.201307036993811</v>
      </c>
      <c r="F38" s="66" t="s">
        <v>206</v>
      </c>
      <c r="G38" s="70">
        <f>100*(D38*G37)/(D38*G37+D37)</f>
        <v>50.017875959656784</v>
      </c>
      <c r="H38" s="75">
        <f>100*(D38*H37)/(D38*H37+D37)</f>
        <v>41.088735611790014</v>
      </c>
      <c r="N38" s="74" t="s">
        <v>58</v>
      </c>
      <c r="O38" s="66">
        <v>1.6476</v>
      </c>
      <c r="P38" s="66">
        <f>100*O38/(O38+O37)</f>
        <v>65.967328635490077</v>
      </c>
      <c r="Q38" s="66" t="s">
        <v>206</v>
      </c>
      <c r="R38" s="70">
        <f>100*(O38*R37)/(O38*R37+O37)</f>
        <v>39.011615058534495</v>
      </c>
      <c r="S38" s="75">
        <f>100*(O38*S37)/(O38*S37+O37)</f>
        <v>30.835153318122497</v>
      </c>
    </row>
    <row r="39" spans="3:19" ht="18.75" x14ac:dyDescent="0.35">
      <c r="C39" s="74" t="s">
        <v>59</v>
      </c>
      <c r="D39" s="66">
        <f>-0.4252</f>
        <v>-0.42520000000000002</v>
      </c>
      <c r="F39" s="82" t="s">
        <v>211</v>
      </c>
      <c r="G39" s="87">
        <f>10^(((LOG(E38)-LOG(252.7833-0.7825*E38))/0.4602)+1.795)</f>
        <v>7.9608229445310226</v>
      </c>
      <c r="H39" s="91">
        <f>10^((LOG(E38)-LOG(36268.9182-188.1602*E38))/0.4602+6.1409)</f>
        <v>5.9819062485362728</v>
      </c>
      <c r="N39" s="74" t="s">
        <v>59</v>
      </c>
      <c r="O39" s="66">
        <v>-9.2109000000000005</v>
      </c>
      <c r="P39" s="70"/>
      <c r="Q39" s="66" t="s">
        <v>207</v>
      </c>
      <c r="R39" s="70">
        <f>10^(((LOG(P38)-LOG(252.7833-0.7825*P38))/0.4602)+1.795)</f>
        <v>5.5309911992772225</v>
      </c>
      <c r="S39" s="75">
        <f>10^((LOG(P38)-LOG(36268.9182-188.1602*P38))/0.4602+6.1409)</f>
        <v>3.8180686634507053</v>
      </c>
    </row>
    <row r="40" spans="3:19" ht="18.75" x14ac:dyDescent="0.35">
      <c r="C40" s="74" t="s">
        <v>208</v>
      </c>
      <c r="D40" s="66">
        <v>0.97789999999999999</v>
      </c>
      <c r="F40" s="82" t="s">
        <v>212</v>
      </c>
      <c r="G40" s="87">
        <f>((G39/40.3044)/(G38/100)-(G39/40.3044))*D37*71.844</f>
        <v>12.053256461400334</v>
      </c>
      <c r="H40" s="91">
        <f>((H39/40.3044)/(H38/100)-(H39/40.3044))*D37*71.844</f>
        <v>12.994875962674236</v>
      </c>
      <c r="N40" s="74" t="s">
        <v>208</v>
      </c>
      <c r="O40" s="66">
        <v>0.96089999999999998</v>
      </c>
      <c r="Q40" s="66" t="s">
        <v>209</v>
      </c>
      <c r="R40" s="70">
        <f>((R39/40.3044)/(R38/100)-(R39/40.3044))*O37*71.844</f>
        <v>13.101262235121899</v>
      </c>
      <c r="S40" s="75">
        <f>((S39/40.3044)/(S38/100)-(S39/40.3044))*O37*71.844</f>
        <v>12.975975306571586</v>
      </c>
    </row>
    <row r="41" spans="3:19" ht="15" thickBot="1" x14ac:dyDescent="0.25">
      <c r="C41" s="76"/>
      <c r="D41" s="77"/>
      <c r="E41" s="77"/>
      <c r="F41" s="77" t="s">
        <v>61</v>
      </c>
      <c r="G41" s="92">
        <f>(1-$D40)*G39</f>
        <v>0.17593418707413566</v>
      </c>
      <c r="H41" s="93">
        <f>(1-$D40)*H39</f>
        <v>0.13220012809265169</v>
      </c>
      <c r="N41" s="76"/>
      <c r="O41" s="77"/>
      <c r="P41" s="77"/>
      <c r="Q41" s="77" t="s">
        <v>61</v>
      </c>
      <c r="R41" s="92">
        <f>(1-$O40)*R39</f>
        <v>0.21626175589173954</v>
      </c>
      <c r="S41" s="93">
        <f>(1-$O40)*S39</f>
        <v>0.14928648474092265</v>
      </c>
    </row>
    <row r="42" spans="3:19" x14ac:dyDescent="0.2">
      <c r="H42" s="88"/>
      <c r="I42" s="88"/>
      <c r="J42" s="88"/>
    </row>
    <row r="43" spans="3:19" ht="15" customHeight="1" x14ac:dyDescent="0.25">
      <c r="C43" s="107" t="s">
        <v>108</v>
      </c>
      <c r="D43" s="107"/>
      <c r="E43" s="107"/>
      <c r="F43" s="94"/>
      <c r="G43" s="95"/>
      <c r="H43" s="95"/>
      <c r="I43" s="95"/>
      <c r="J43" s="95"/>
      <c r="K43" s="96"/>
      <c r="L43" s="95"/>
      <c r="M43" s="95"/>
      <c r="N43" s="107" t="s">
        <v>108</v>
      </c>
      <c r="O43" s="107"/>
      <c r="P43" s="107"/>
      <c r="Q43" s="94"/>
      <c r="R43" s="95"/>
    </row>
    <row r="44" spans="3:19" ht="20.25" x14ac:dyDescent="0.35">
      <c r="C44" s="97" t="s">
        <v>213</v>
      </c>
      <c r="D44" s="95" t="s">
        <v>214</v>
      </c>
      <c r="E44" s="95" t="s">
        <v>215</v>
      </c>
      <c r="F44" s="95" t="s">
        <v>118</v>
      </c>
      <c r="G44" s="95" t="s">
        <v>119</v>
      </c>
      <c r="H44" s="95"/>
      <c r="I44" s="95"/>
      <c r="J44" s="95"/>
      <c r="K44" s="98"/>
      <c r="L44" s="95"/>
      <c r="M44" s="95"/>
      <c r="N44" s="97" t="s">
        <v>213</v>
      </c>
      <c r="O44" s="95" t="s">
        <v>214</v>
      </c>
      <c r="P44" s="95" t="s">
        <v>215</v>
      </c>
      <c r="Q44" s="95" t="s">
        <v>118</v>
      </c>
      <c r="R44" s="95" t="s">
        <v>119</v>
      </c>
    </row>
    <row r="45" spans="3:19" ht="15.75" x14ac:dyDescent="0.25">
      <c r="C45" s="95">
        <f>D23</f>
        <v>1</v>
      </c>
      <c r="D45" s="99">
        <f>G25</f>
        <v>7.0567919318972088</v>
      </c>
      <c r="E45" s="99">
        <f>H25</f>
        <v>5.1456523257476894</v>
      </c>
      <c r="F45" s="96">
        <v>0.15595510169492838</v>
      </c>
      <c r="G45" s="96">
        <v>0.11371891639902398</v>
      </c>
      <c r="H45" s="95"/>
      <c r="I45" s="95"/>
      <c r="J45" s="95"/>
      <c r="K45" s="95"/>
      <c r="L45" s="95"/>
      <c r="M45" s="95"/>
      <c r="N45" s="95">
        <f>O23</f>
        <v>1</v>
      </c>
      <c r="O45" s="99">
        <f>R25</f>
        <v>4.7221743458997762</v>
      </c>
      <c r="P45" s="99">
        <f>S25</f>
        <v>3.1578219096679785</v>
      </c>
      <c r="Q45" s="96">
        <f>R27</f>
        <v>0.18463701692468137</v>
      </c>
      <c r="R45" s="96">
        <f>S27</f>
        <v>0.12347083666801803</v>
      </c>
    </row>
    <row r="46" spans="3:19" ht="15.75" x14ac:dyDescent="0.25">
      <c r="C46" s="95">
        <f>D30</f>
        <v>0.9</v>
      </c>
      <c r="D46" s="99">
        <f>G32</f>
        <v>7.6415790950643974</v>
      </c>
      <c r="E46" s="99">
        <f>H32</f>
        <v>5.6824091026774131</v>
      </c>
      <c r="F46" s="96">
        <v>0.16887889800092323</v>
      </c>
      <c r="G46" s="96">
        <v>0.12558124116917088</v>
      </c>
      <c r="H46" s="95"/>
      <c r="I46" s="95"/>
      <c r="J46" s="95"/>
      <c r="K46" s="95"/>
      <c r="L46" s="95"/>
      <c r="M46" s="95"/>
      <c r="N46" s="95">
        <f>O30</f>
        <v>0.9</v>
      </c>
      <c r="O46" s="99">
        <f>R32</f>
        <v>5.2403044738931941</v>
      </c>
      <c r="P46" s="99">
        <f>S32</f>
        <v>3.5772579962971629</v>
      </c>
      <c r="Q46" s="96">
        <f>R34</f>
        <v>0.20489590492922402</v>
      </c>
      <c r="R46" s="96">
        <f>S34</f>
        <v>0.13987078765521915</v>
      </c>
    </row>
    <row r="47" spans="3:19" ht="15.75" x14ac:dyDescent="0.25">
      <c r="C47" s="97">
        <f>D37</f>
        <v>0.85</v>
      </c>
      <c r="D47" s="99">
        <f>G39</f>
        <v>7.9608229445310226</v>
      </c>
      <c r="E47" s="99">
        <f>H39</f>
        <v>5.9819062485362728</v>
      </c>
      <c r="F47" s="100">
        <v>0.17593418707413566</v>
      </c>
      <c r="G47" s="100">
        <v>0.13220012809265169</v>
      </c>
      <c r="H47" s="97"/>
      <c r="I47" s="97"/>
      <c r="J47" s="97"/>
      <c r="K47" s="97"/>
      <c r="L47" s="97"/>
      <c r="M47" s="97"/>
      <c r="N47" s="97">
        <f>O37</f>
        <v>0.85</v>
      </c>
      <c r="O47" s="99">
        <f>R39</f>
        <v>5.5309911992772225</v>
      </c>
      <c r="P47" s="99">
        <f>S39</f>
        <v>3.8180686634507053</v>
      </c>
      <c r="Q47" s="100">
        <f>R41</f>
        <v>0.21626175589173954</v>
      </c>
      <c r="R47" s="100">
        <f>S41</f>
        <v>0.14928648474092265</v>
      </c>
    </row>
    <row r="49" spans="3:16" x14ac:dyDescent="0.2">
      <c r="C49" s="88" t="s">
        <v>55</v>
      </c>
      <c r="D49" s="101">
        <f>MIN(D45:D47)</f>
        <v>7.0567919318972088</v>
      </c>
      <c r="E49" s="101">
        <f>MIN(E45:E47)</f>
        <v>5.1456523257476894</v>
      </c>
      <c r="G49" s="70"/>
      <c r="N49" s="88" t="s">
        <v>55</v>
      </c>
      <c r="O49" s="101">
        <f>MIN(O45:O47)</f>
        <v>4.7221743458997762</v>
      </c>
      <c r="P49" s="101">
        <f>MIN(P45:P47)</f>
        <v>3.1578219096679785</v>
      </c>
    </row>
    <row r="50" spans="3:16" x14ac:dyDescent="0.2">
      <c r="C50" s="88" t="s">
        <v>56</v>
      </c>
      <c r="D50" s="101">
        <f>MAX(D45:D47)</f>
        <v>7.9608229445310226</v>
      </c>
      <c r="E50" s="101">
        <f>MAX(E45:E47)</f>
        <v>5.9819062485362728</v>
      </c>
      <c r="N50" s="88" t="s">
        <v>56</v>
      </c>
      <c r="O50" s="101">
        <f>MAX(O45:O47)</f>
        <v>5.5309911992772225</v>
      </c>
      <c r="P50" s="101">
        <f>MAX(P45:P47)</f>
        <v>3.8180686634507053</v>
      </c>
    </row>
  </sheetData>
  <mergeCells count="4">
    <mergeCell ref="C43:E43"/>
    <mergeCell ref="N43:P43"/>
    <mergeCell ref="D3:H3"/>
    <mergeCell ref="O3:R3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EA92F-E44A-4169-ABD2-5A817765B42E}">
  <dimension ref="A1:AP36"/>
  <sheetViews>
    <sheetView zoomScaleNormal="100" workbookViewId="0">
      <selection activeCell="K24" sqref="K24"/>
    </sheetView>
  </sheetViews>
  <sheetFormatPr defaultColWidth="8.7109375" defaultRowHeight="14.25" x14ac:dyDescent="0.2"/>
  <cols>
    <col min="1" max="1" width="16.85546875" style="66" bestFit="1" customWidth="1"/>
    <col min="2" max="3" width="6.140625" style="66" bestFit="1" customWidth="1"/>
    <col min="4" max="4" width="11.7109375" style="66" bestFit="1" customWidth="1"/>
    <col min="5" max="5" width="12" style="66" bestFit="1" customWidth="1"/>
    <col min="6" max="6" width="10.5703125" style="66" bestFit="1" customWidth="1"/>
    <col min="7" max="7" width="10.85546875" style="66" bestFit="1" customWidth="1"/>
    <col min="8" max="8" width="6.140625" style="66" bestFit="1" customWidth="1"/>
    <col min="9" max="9" width="10.140625" style="66" bestFit="1" customWidth="1"/>
    <col min="10" max="10" width="7.140625" style="66" bestFit="1" customWidth="1"/>
    <col min="11" max="12" width="19.28515625" style="66" bestFit="1" customWidth="1"/>
    <col min="13" max="13" width="10.140625" style="66" bestFit="1" customWidth="1"/>
    <col min="14" max="14" width="10.28515625" style="66" bestFit="1" customWidth="1"/>
    <col min="15" max="16" width="19.28515625" style="66" bestFit="1" customWidth="1"/>
    <col min="17" max="26" width="8.7109375" style="66"/>
    <col min="27" max="27" width="10.5703125" style="66" customWidth="1"/>
    <col min="28" max="16384" width="8.7109375" style="66"/>
  </cols>
  <sheetData>
    <row r="1" spans="1:42" x14ac:dyDescent="0.2">
      <c r="A1" s="1" t="s">
        <v>0</v>
      </c>
      <c r="B1" s="106" t="s">
        <v>62</v>
      </c>
      <c r="C1" s="106" t="s">
        <v>5</v>
      </c>
      <c r="D1" s="66" t="s">
        <v>9</v>
      </c>
      <c r="E1" s="66" t="s">
        <v>10</v>
      </c>
      <c r="F1" s="66" t="s">
        <v>11</v>
      </c>
      <c r="G1" s="66" t="s">
        <v>12</v>
      </c>
      <c r="H1" s="66" t="s">
        <v>90</v>
      </c>
      <c r="I1" s="66" t="s">
        <v>14</v>
      </c>
      <c r="J1" s="66" t="s">
        <v>15</v>
      </c>
      <c r="K1" s="66" t="s">
        <v>16</v>
      </c>
      <c r="L1" s="66" t="s">
        <v>17</v>
      </c>
      <c r="M1" s="66" t="s">
        <v>18</v>
      </c>
      <c r="N1" s="66" t="s">
        <v>19</v>
      </c>
      <c r="O1" s="66" t="s">
        <v>16</v>
      </c>
      <c r="P1" s="66" t="s">
        <v>17</v>
      </c>
    </row>
    <row r="2" spans="1:42" x14ac:dyDescent="0.2">
      <c r="A2" s="80" t="s">
        <v>20</v>
      </c>
      <c r="B2" s="67">
        <v>16.907394743966435</v>
      </c>
      <c r="C2" s="67">
        <v>5.9258219445920615</v>
      </c>
      <c r="D2" s="70">
        <v>0.88623676960005937</v>
      </c>
      <c r="E2" s="70">
        <v>1.4185342148982714</v>
      </c>
      <c r="F2" s="70">
        <v>7.2966231650040392</v>
      </c>
      <c r="G2" s="70">
        <v>11.679169684472152</v>
      </c>
      <c r="H2" s="70">
        <f>(100*C2/40.3044)/(C2/40.3044+(0.85*B2/71.844))</f>
        <v>42.363319545165673</v>
      </c>
      <c r="I2" s="70">
        <f>(C2/40.3044)/(0.85*B2/71.844)</f>
        <v>0.73500623580087554</v>
      </c>
      <c r="J2" s="70">
        <f>100*(I2/(1+I2))</f>
        <v>42.363319545165673</v>
      </c>
      <c r="K2" s="70">
        <f>10^(((LOG(J2)-LOG(252.7833-0.7825*J2))/0.4602)+1.795)</f>
        <v>1.7456562607478268</v>
      </c>
      <c r="L2" s="70">
        <f t="shared" ref="L2:L35" si="0">10^((LOG(J2)-LOG(36268.9182-188.1602*J2))/0.4602+6.1409)</f>
        <v>1.0064202699128548</v>
      </c>
      <c r="M2" s="103">
        <v>35.013368983957221</v>
      </c>
      <c r="N2" s="103">
        <v>37.256253014538686</v>
      </c>
      <c r="O2" s="70">
        <f>10^(((LOG(M2)-LOG(252.7833-0.7825*M2))/0.4602)+1.795)</f>
        <v>1.0907832455330784</v>
      </c>
      <c r="P2" s="70">
        <f>10^((LOG(N2)-LOG(36268.9182-188.1602*N2))/0.4602+6.1409)</f>
        <v>0.70799972386807986</v>
      </c>
    </row>
    <row r="3" spans="1:42" x14ac:dyDescent="0.2">
      <c r="A3" s="80" t="s">
        <v>21</v>
      </c>
      <c r="B3" s="67">
        <v>12.712760709128833</v>
      </c>
      <c r="C3" s="67">
        <v>3.8404460131557845</v>
      </c>
      <c r="D3" s="70">
        <v>0.47079383809520536</v>
      </c>
      <c r="E3" s="70">
        <v>0.87428078615858618</v>
      </c>
      <c r="F3" s="70">
        <v>4.4175867631029844</v>
      </c>
      <c r="G3" s="70">
        <v>8.2036146517882269</v>
      </c>
      <c r="H3" s="70">
        <f t="shared" ref="H3:H35" si="1">(100*C3/40.3044)/(C3/40.3044+(0.85*B3/71.844))</f>
        <v>38.782538208695236</v>
      </c>
      <c r="I3" s="70">
        <f t="shared" ref="I3:I35" si="2">(C3/40.3044)/(0.85*B3/71.844)</f>
        <v>0.63352084640340056</v>
      </c>
      <c r="J3" s="70">
        <f t="shared" ref="J3:J35" si="3">100*(I3/(1+I3))</f>
        <v>38.782538208695236</v>
      </c>
      <c r="K3" s="70">
        <f t="shared" ref="K3:K35" si="4">10^(((LOG(J3)-LOG(252.7833-0.7825*J3))/0.4602)+1.795)</f>
        <v>1.4016969013129157</v>
      </c>
      <c r="L3" s="70">
        <f t="shared" si="0"/>
        <v>0.78928140715856343</v>
      </c>
      <c r="M3" s="103">
        <v>32.731648616125156</v>
      </c>
      <c r="N3" s="103">
        <v>34.911139505169011</v>
      </c>
      <c r="O3" s="70">
        <f t="shared" ref="O3:O29" si="5">10^(((LOG(M3)-LOG(252.7833-0.7825*M3))/0.4602)+1.795)</f>
        <v>0.92618546429634052</v>
      </c>
      <c r="P3" s="70">
        <f t="shared" ref="P3:P22" si="6">10^((LOG(N3)-LOG(36268.9182-188.1602*N3))/0.4602+6.1409)</f>
        <v>0.59504939483927188</v>
      </c>
    </row>
    <row r="4" spans="1:42" x14ac:dyDescent="0.2">
      <c r="A4" s="80" t="s">
        <v>22</v>
      </c>
      <c r="B4" s="67">
        <v>9.8742328735775686</v>
      </c>
      <c r="C4" s="67">
        <v>7.6556616530404229</v>
      </c>
      <c r="D4" s="70">
        <v>0.94946199857635161</v>
      </c>
      <c r="E4" s="70">
        <v>0.68700544221244741</v>
      </c>
      <c r="F4" s="70">
        <v>22.064080246450082</v>
      </c>
      <c r="G4" s="70">
        <v>15.964981462609233</v>
      </c>
      <c r="H4" s="70">
        <f t="shared" si="1"/>
        <v>61.918071281678515</v>
      </c>
      <c r="I4" s="70">
        <f t="shared" si="2"/>
        <v>1.6259174197731556</v>
      </c>
      <c r="J4" s="70">
        <f t="shared" si="3"/>
        <v>61.918071281678507</v>
      </c>
      <c r="K4" s="70">
        <f>10^(((LOG(J4)-LOG(252.7833-0.7825*J4))/0.4602)+1.795)</f>
        <v>4.6587869140083606</v>
      </c>
      <c r="L4" s="70">
        <f t="shared" si="0"/>
        <v>3.1073778512694656</v>
      </c>
      <c r="M4" s="103">
        <v>53.762450824474769</v>
      </c>
      <c r="N4" s="103">
        <v>56.166758609819524</v>
      </c>
      <c r="O4" s="70">
        <f>10^(((LOG(M4)-LOG(252.7833-0.7825*M4))/0.4602)+1.795)</f>
        <v>3.2059980801576375</v>
      </c>
      <c r="P4" s="70">
        <f>10^((LOG(N4)-LOG(36268.9182-188.1602*N4))/0.4602+6.1409)</f>
        <v>2.2897995259700781</v>
      </c>
    </row>
    <row r="5" spans="1:42" ht="15" x14ac:dyDescent="0.25">
      <c r="A5" s="80" t="s">
        <v>23</v>
      </c>
      <c r="B5" s="67">
        <v>15.395799932256972</v>
      </c>
      <c r="C5" s="67">
        <v>6.3637390045880506</v>
      </c>
      <c r="D5" s="70">
        <v>0.96937215086148665</v>
      </c>
      <c r="E5" s="70">
        <v>1.3156561312730255</v>
      </c>
      <c r="F5" s="70">
        <v>7.7807064929992951</v>
      </c>
      <c r="G5" s="70">
        <v>10.560169480888138</v>
      </c>
      <c r="H5" s="70">
        <f t="shared" si="1"/>
        <v>46.432988519938569</v>
      </c>
      <c r="I5" s="70">
        <f t="shared" si="2"/>
        <v>0.86682059045279614</v>
      </c>
      <c r="J5" s="70">
        <f t="shared" si="3"/>
        <v>46.432988519938561</v>
      </c>
      <c r="K5" s="70">
        <f>10^(((LOG(J5)-LOG(252.7833-0.7825*J5))/0.4602)+1.795)</f>
        <v>2.1994074220056685</v>
      </c>
      <c r="L5" s="70">
        <f t="shared" si="0"/>
        <v>1.3038635216867005</v>
      </c>
      <c r="M5" s="103">
        <v>39.184590690208672</v>
      </c>
      <c r="N5" s="103">
        <v>41.523536895674305</v>
      </c>
      <c r="O5" s="70">
        <f>10^(((LOG(M5)-LOG(252.7833-0.7825*M5))/0.4602)+1.795)</f>
        <v>1.4378802500288479</v>
      </c>
      <c r="P5" s="70">
        <f>10^((LOG(N5)-LOG(36268.9182-188.1602*N5))/0.4602+6.1409)</f>
        <v>0.95198269364495391</v>
      </c>
      <c r="AP5" s="82"/>
    </row>
    <row r="6" spans="1:42" x14ac:dyDescent="0.2">
      <c r="A6" s="80" t="s">
        <v>24</v>
      </c>
      <c r="B6" s="67">
        <v>16.241638490455092</v>
      </c>
      <c r="C6" s="67">
        <v>7.1298065816830123</v>
      </c>
      <c r="D6" s="70">
        <v>1.1375492107709337</v>
      </c>
      <c r="E6" s="70">
        <v>1.4537316333291672</v>
      </c>
      <c r="F6" s="70">
        <v>7.3644564861404698</v>
      </c>
      <c r="G6" s="70">
        <v>9.4114111765969142</v>
      </c>
      <c r="H6" s="70">
        <f t="shared" si="1"/>
        <v>47.932710997807177</v>
      </c>
      <c r="I6" s="70">
        <f t="shared" si="2"/>
        <v>0.92059164047869801</v>
      </c>
      <c r="J6" s="70">
        <f t="shared" si="3"/>
        <v>47.93271099780717</v>
      </c>
      <c r="K6" s="70">
        <f>10^(((LOG(J6)-LOG(252.7833-0.7825*J6))/0.4602)+1.795)</f>
        <v>2.38470546928865</v>
      </c>
      <c r="L6" s="70">
        <f t="shared" si="0"/>
        <v>1.4287397100325845</v>
      </c>
      <c r="M6" s="103">
        <v>41.022882847643267</v>
      </c>
      <c r="N6" s="103">
        <v>43.387276785714292</v>
      </c>
      <c r="O6" s="70">
        <f>10^(((LOG(M6)-LOG(252.7833-0.7825*M6))/0.4602)+1.795)</f>
        <v>1.6110897820577676</v>
      </c>
      <c r="P6" s="70">
        <f>10^((LOG(N6)-LOG(36268.9182-188.1602*N6))/0.4602+6.1409)</f>
        <v>1.0758843128043845</v>
      </c>
      <c r="AD6" s="81"/>
    </row>
    <row r="7" spans="1:42" x14ac:dyDescent="0.2">
      <c r="A7" s="80" t="s">
        <v>25</v>
      </c>
      <c r="B7" s="67">
        <v>10.426882920879073</v>
      </c>
      <c r="C7" s="67">
        <v>4.7964605429097134</v>
      </c>
      <c r="D7" s="70">
        <v>0.60411907177424562</v>
      </c>
      <c r="E7" s="70">
        <v>0.73674657136553912</v>
      </c>
      <c r="F7" s="70">
        <v>4.3992755798231915</v>
      </c>
      <c r="G7" s="70">
        <v>5.3650867045264743</v>
      </c>
      <c r="H7" s="70">
        <f t="shared" si="1"/>
        <v>49.101253783706014</v>
      </c>
      <c r="I7" s="70">
        <f t="shared" si="2"/>
        <v>0.96468493693440804</v>
      </c>
      <c r="J7" s="70">
        <f t="shared" si="3"/>
        <v>49.101253783706014</v>
      </c>
      <c r="K7" s="70">
        <f>10^(((LOG(J7)-LOG(252.7833-0.7825*J7))/0.4602)+1.795)</f>
        <v>2.5361924998644771</v>
      </c>
      <c r="L7" s="70">
        <f t="shared" si="0"/>
        <v>1.5322481278300706</v>
      </c>
      <c r="M7" s="103">
        <v>44.845309874468711</v>
      </c>
      <c r="N7" s="103">
        <v>47.259541077160868</v>
      </c>
      <c r="O7" s="70">
        <f>10^(((LOG(M7)-LOG(252.7833-0.7825*M7))/0.4602)+1.795)</f>
        <v>2.0140574668046072</v>
      </c>
      <c r="P7" s="70">
        <f>10^((LOG(N7)-LOG(36268.9182-188.1602*N7))/0.4602+6.1409)</f>
        <v>1.3716056446614189</v>
      </c>
    </row>
    <row r="8" spans="1:42" x14ac:dyDescent="0.2">
      <c r="A8" s="80" t="s">
        <v>26</v>
      </c>
      <c r="B8" s="67">
        <v>16.861136995259116</v>
      </c>
      <c r="C8" s="67">
        <v>6.0180644106588197</v>
      </c>
      <c r="D8" s="70">
        <v>0.92261420005522687</v>
      </c>
      <c r="E8" s="70">
        <v>1.4501472925773304</v>
      </c>
      <c r="F8" s="70">
        <v>8.7887415473069233</v>
      </c>
      <c r="G8" s="70">
        <v>13.813975288073962</v>
      </c>
      <c r="H8" s="70">
        <f t="shared" si="1"/>
        <v>42.807968367321827</v>
      </c>
      <c r="I8" s="70">
        <f t="shared" si="2"/>
        <v>0.74849532610172875</v>
      </c>
      <c r="J8" s="70">
        <f t="shared" si="3"/>
        <v>42.807968367321827</v>
      </c>
      <c r="K8" s="70">
        <f t="shared" si="4"/>
        <v>1.7918783609610021</v>
      </c>
      <c r="L8" s="70">
        <f t="shared" si="0"/>
        <v>1.0361611032351559</v>
      </c>
      <c r="M8" s="103">
        <v>35.007480230818551</v>
      </c>
      <c r="N8" s="103">
        <v>37.249631811487482</v>
      </c>
      <c r="O8" s="70">
        <f t="shared" si="5"/>
        <v>1.0903362048130478</v>
      </c>
      <c r="P8" s="70">
        <f t="shared" si="6"/>
        <v>0.70766085780550114</v>
      </c>
    </row>
    <row r="9" spans="1:42" ht="15" x14ac:dyDescent="0.25">
      <c r="A9" s="80" t="s">
        <v>27</v>
      </c>
      <c r="B9" s="67">
        <v>14.594028965867707</v>
      </c>
      <c r="C9" s="67">
        <v>4.827644617599729</v>
      </c>
      <c r="D9" s="70">
        <v>0.63874051359519624</v>
      </c>
      <c r="E9" s="70">
        <v>1.0832440961815715</v>
      </c>
      <c r="F9" s="70">
        <v>5.4107546956879693</v>
      </c>
      <c r="G9" s="70">
        <v>9.1761332735897856</v>
      </c>
      <c r="H9" s="70">
        <f t="shared" si="1"/>
        <v>40.958084941432368</v>
      </c>
      <c r="I9" s="70">
        <f t="shared" si="2"/>
        <v>0.69371199936186501</v>
      </c>
      <c r="J9" s="70">
        <f t="shared" si="3"/>
        <v>40.958084941432361</v>
      </c>
      <c r="K9" s="70">
        <f t="shared" si="4"/>
        <v>1.6047638150164258</v>
      </c>
      <c r="L9" s="70">
        <f t="shared" si="0"/>
        <v>0.9165744986800155</v>
      </c>
      <c r="M9" s="103">
        <v>34.358407079646014</v>
      </c>
      <c r="N9" s="103">
        <v>36.555891238670696</v>
      </c>
      <c r="O9" s="70">
        <f t="shared" si="5"/>
        <v>1.0417769132761021</v>
      </c>
      <c r="P9" s="70">
        <f t="shared" si="6"/>
        <v>0.67279545220177761</v>
      </c>
      <c r="AF9" s="82"/>
      <c r="AG9" s="82"/>
      <c r="AH9" s="82"/>
      <c r="AI9" s="82"/>
      <c r="AJ9" s="82"/>
      <c r="AK9" s="82"/>
      <c r="AL9" s="82"/>
      <c r="AM9" s="82"/>
      <c r="AN9" s="82"/>
      <c r="AO9" s="82"/>
    </row>
    <row r="10" spans="1:42" x14ac:dyDescent="0.2">
      <c r="A10" s="80" t="s">
        <v>28</v>
      </c>
      <c r="B10" s="67">
        <v>12.68338635932661</v>
      </c>
      <c r="C10" s="67">
        <v>9.9134025831735553</v>
      </c>
      <c r="D10" s="70">
        <v>1.3864260016799239</v>
      </c>
      <c r="E10" s="70">
        <v>0.99511008972167347</v>
      </c>
      <c r="F10" s="70">
        <v>44.291154527820012</v>
      </c>
      <c r="G10" s="70">
        <v>31.790066474987185</v>
      </c>
      <c r="H10" s="70">
        <f t="shared" si="1"/>
        <v>62.108358926670398</v>
      </c>
      <c r="I10" s="70">
        <f t="shared" si="2"/>
        <v>1.6391044876223628</v>
      </c>
      <c r="J10" s="70">
        <f t="shared" si="3"/>
        <v>62.108358926670405</v>
      </c>
      <c r="K10" s="70">
        <f t="shared" si="4"/>
        <v>4.6973894055256711</v>
      </c>
      <c r="L10" s="70">
        <f t="shared" si="0"/>
        <v>3.1380752179620055</v>
      </c>
      <c r="M10" s="103">
        <v>52.952503209242622</v>
      </c>
      <c r="N10" s="103">
        <v>55.364722139966439</v>
      </c>
      <c r="O10" s="70">
        <f t="shared" si="5"/>
        <v>3.0817940463429223</v>
      </c>
      <c r="P10" s="70">
        <f t="shared" si="6"/>
        <v>2.1912878295972265</v>
      </c>
    </row>
    <row r="11" spans="1:42" x14ac:dyDescent="0.2">
      <c r="A11" s="80" t="s">
        <v>29</v>
      </c>
      <c r="B11" s="67">
        <v>17.825238822060218</v>
      </c>
      <c r="C11" s="67">
        <v>14.153209021336547</v>
      </c>
      <c r="D11" s="70">
        <v>2.6084344175042542</v>
      </c>
      <c r="E11" s="70">
        <v>1.8429871820948152</v>
      </c>
      <c r="F11" s="70">
        <v>42.380034710050062</v>
      </c>
      <c r="G11" s="70">
        <v>29.943578501807682</v>
      </c>
      <c r="H11" s="70">
        <f t="shared" si="1"/>
        <v>62.477867310562743</v>
      </c>
      <c r="I11" s="70">
        <f t="shared" si="2"/>
        <v>1.6650937148929887</v>
      </c>
      <c r="J11" s="70">
        <f t="shared" si="3"/>
        <v>62.477867310562729</v>
      </c>
      <c r="K11" s="70">
        <f>10^(((LOG(J11)-LOG(252.7833-0.7825*J11))/0.4602)+1.795)</f>
        <v>4.7730035050335919</v>
      </c>
      <c r="L11" s="70">
        <f t="shared" si="0"/>
        <v>3.1984096621280926</v>
      </c>
      <c r="M11" s="103">
        <v>53.424455479620434</v>
      </c>
      <c r="N11" s="103">
        <v>55.825833130625156</v>
      </c>
      <c r="O11" s="70">
        <f>10^(((LOG(M11)-LOG(252.7833-0.7825*M11))/0.4602)+1.795)</f>
        <v>3.1537541133957241</v>
      </c>
      <c r="P11" s="70">
        <f>10^((LOG(N11)-LOG(36268.9182-188.1602*N11))/0.4602+6.1409)</f>
        <v>2.2474976720351596</v>
      </c>
    </row>
    <row r="12" spans="1:42" x14ac:dyDescent="0.2">
      <c r="A12" s="80" t="s">
        <v>30</v>
      </c>
      <c r="B12" s="67">
        <v>9.2423827619412489</v>
      </c>
      <c r="C12" s="67">
        <v>2.1226586040154487</v>
      </c>
      <c r="D12" s="70">
        <v>0.23821702603408546</v>
      </c>
      <c r="E12" s="70">
        <v>0.58188686583396887</v>
      </c>
      <c r="F12" s="70">
        <v>4.9599743752243235</v>
      </c>
      <c r="G12" s="70">
        <v>12.115607317686493</v>
      </c>
      <c r="H12" s="70">
        <f t="shared" si="1"/>
        <v>32.506856503271095</v>
      </c>
      <c r="I12" s="70">
        <f t="shared" si="2"/>
        <v>0.48163198243754279</v>
      </c>
      <c r="J12" s="70">
        <f t="shared" si="3"/>
        <v>32.506856503271095</v>
      </c>
      <c r="K12" s="70">
        <f>10^(((LOG(J12)-LOG(252.7833-0.7825*J12))/0.4602)+1.795)</f>
        <v>0.9108860146171639</v>
      </c>
      <c r="L12" s="70">
        <f t="shared" si="0"/>
        <v>0.49311546798074329</v>
      </c>
      <c r="M12" s="103">
        <v>25.979594854354577</v>
      </c>
      <c r="N12" s="103"/>
      <c r="O12" s="70">
        <f>10^(((LOG(M12)-LOG(252.7833-0.7825*M12))/0.4602)+1.795)</f>
        <v>0.53330407877679598</v>
      </c>
      <c r="P12" s="70"/>
    </row>
    <row r="13" spans="1:42" x14ac:dyDescent="0.2">
      <c r="A13" s="80" t="s">
        <v>31</v>
      </c>
      <c r="B13" s="67">
        <v>15.728849591624833</v>
      </c>
      <c r="C13" s="67">
        <v>6.4976075530673647</v>
      </c>
      <c r="D13" s="70">
        <v>0.90700378507039281</v>
      </c>
      <c r="E13" s="70">
        <v>1.2317272172663398</v>
      </c>
      <c r="F13" s="70">
        <v>7.8718137564755253</v>
      </c>
      <c r="G13" s="70">
        <v>10.690062613520393</v>
      </c>
      <c r="H13" s="70">
        <f t="shared" si="1"/>
        <v>46.418465685419513</v>
      </c>
      <c r="I13" s="70">
        <f t="shared" si="2"/>
        <v>0.86631460407411698</v>
      </c>
      <c r="J13" s="70">
        <f t="shared" si="3"/>
        <v>46.418465685419505</v>
      </c>
      <c r="K13" s="70">
        <f t="shared" si="4"/>
        <v>2.1976621633439617</v>
      </c>
      <c r="L13" s="70">
        <f t="shared" si="0"/>
        <v>1.3026965566620705</v>
      </c>
      <c r="M13" s="103">
        <v>39.123873230819427</v>
      </c>
      <c r="N13" s="103"/>
      <c r="O13" s="70">
        <f t="shared" si="5"/>
        <v>1.4323773666518946</v>
      </c>
      <c r="P13" s="70"/>
    </row>
    <row r="14" spans="1:42" x14ac:dyDescent="0.2">
      <c r="A14" s="80" t="s">
        <v>32</v>
      </c>
      <c r="B14" s="67">
        <v>15.290519948819355</v>
      </c>
      <c r="C14" s="67">
        <v>7.0532003764526729</v>
      </c>
      <c r="D14" s="70">
        <v>1.0893107326710485</v>
      </c>
      <c r="E14" s="70">
        <v>1.3247983252861653</v>
      </c>
      <c r="F14" s="70">
        <v>5.0834898346658841</v>
      </c>
      <c r="G14" s="70">
        <v>6.1824405264611793</v>
      </c>
      <c r="H14" s="70">
        <f t="shared" si="1"/>
        <v>49.170171949686306</v>
      </c>
      <c r="I14" s="70">
        <f t="shared" si="2"/>
        <v>0.96734877601819569</v>
      </c>
      <c r="J14" s="70">
        <f t="shared" si="3"/>
        <v>49.170171949686306</v>
      </c>
      <c r="K14" s="70">
        <f t="shared" si="4"/>
        <v>2.5453254056729833</v>
      </c>
      <c r="L14" s="70">
        <f t="shared" si="0"/>
        <v>1.538528711810107</v>
      </c>
      <c r="M14" s="103">
        <v>44.028114166310488</v>
      </c>
      <c r="N14" s="103"/>
      <c r="O14" s="70">
        <f t="shared" si="5"/>
        <v>1.9228635253537998</v>
      </c>
      <c r="P14" s="70"/>
    </row>
    <row r="15" spans="1:42" x14ac:dyDescent="0.2">
      <c r="A15" s="80" t="s">
        <v>33</v>
      </c>
      <c r="B15" s="67">
        <v>21.127336660617061</v>
      </c>
      <c r="C15" s="67">
        <v>11.229582577132488</v>
      </c>
      <c r="D15" s="70">
        <v>1.9104689595121482</v>
      </c>
      <c r="E15" s="70">
        <v>2.0164296820179275</v>
      </c>
      <c r="F15" s="70">
        <v>12.538814658219687</v>
      </c>
      <c r="G15" s="70">
        <v>13.234257446722404</v>
      </c>
      <c r="H15" s="70">
        <f t="shared" si="1"/>
        <v>52.710819393285753</v>
      </c>
      <c r="I15" s="70">
        <f t="shared" si="2"/>
        <v>1.1146486091958574</v>
      </c>
      <c r="J15" s="70">
        <f t="shared" si="3"/>
        <v>52.71081939328576</v>
      </c>
      <c r="K15" s="70">
        <f t="shared" si="4"/>
        <v>3.0453867059777875</v>
      </c>
      <c r="L15" s="70">
        <f t="shared" si="0"/>
        <v>1.8892413910558827</v>
      </c>
      <c r="M15" s="103">
        <v>44.776190932617652</v>
      </c>
      <c r="N15" s="103">
        <v>47.186147186147181</v>
      </c>
      <c r="O15" s="70">
        <f t="shared" si="5"/>
        <v>2.0062349285980616</v>
      </c>
      <c r="P15" s="70">
        <f t="shared" si="6"/>
        <v>1.3654840321123296</v>
      </c>
    </row>
    <row r="16" spans="1:42" x14ac:dyDescent="0.2">
      <c r="A16" s="80" t="s">
        <v>34</v>
      </c>
      <c r="B16" s="67">
        <v>11.804309268180054</v>
      </c>
      <c r="C16" s="67">
        <v>6.4649517752379762</v>
      </c>
      <c r="D16" s="70">
        <v>0.84370608859862872</v>
      </c>
      <c r="E16" s="70">
        <v>0.86422819134051732</v>
      </c>
      <c r="F16" s="70">
        <v>13.761525076020412</v>
      </c>
      <c r="G16" s="70">
        <v>14.096257082001609</v>
      </c>
      <c r="H16" s="70">
        <f t="shared" si="1"/>
        <v>53.456634429986799</v>
      </c>
      <c r="I16" s="70">
        <f t="shared" si="2"/>
        <v>1.1485339269154116</v>
      </c>
      <c r="J16" s="70">
        <f t="shared" si="3"/>
        <v>53.456634429986813</v>
      </c>
      <c r="K16" s="70">
        <f t="shared" si="4"/>
        <v>3.1587024412806706</v>
      </c>
      <c r="L16" s="70">
        <f t="shared" si="0"/>
        <v>1.9705423029289444</v>
      </c>
      <c r="M16" s="103">
        <v>45.3257790368272</v>
      </c>
      <c r="N16" s="103">
        <v>47.748976807639835</v>
      </c>
      <c r="O16" s="70">
        <f t="shared" si="5"/>
        <v>2.0689983521395354</v>
      </c>
      <c r="P16" s="70">
        <f t="shared" si="6"/>
        <v>1.4129677990116603</v>
      </c>
    </row>
    <row r="17" spans="1:38" x14ac:dyDescent="0.2">
      <c r="A17" s="80" t="s">
        <v>35</v>
      </c>
      <c r="B17" s="67">
        <v>15.17240824177547</v>
      </c>
      <c r="C17" s="67">
        <v>4.7146635444652354</v>
      </c>
      <c r="D17" s="70">
        <v>0.64714499403723713</v>
      </c>
      <c r="E17" s="70">
        <v>1.168334944595246</v>
      </c>
      <c r="F17" s="70">
        <v>3.9282997051776638</v>
      </c>
      <c r="G17" s="70">
        <v>7.0920270738247888</v>
      </c>
      <c r="H17" s="70">
        <f t="shared" si="1"/>
        <v>39.454534644951558</v>
      </c>
      <c r="I17" s="70">
        <f t="shared" si="2"/>
        <v>0.65165135677104369</v>
      </c>
      <c r="J17" s="70">
        <f t="shared" si="3"/>
        <v>39.454534644951551</v>
      </c>
      <c r="K17" s="70">
        <f t="shared" si="4"/>
        <v>1.4625123121016488</v>
      </c>
      <c r="L17" s="70">
        <f t="shared" si="0"/>
        <v>0.8271255617183334</v>
      </c>
      <c r="M17" s="103">
        <v>33.920774370035254</v>
      </c>
      <c r="N17" s="103"/>
      <c r="O17" s="70">
        <f t="shared" si="5"/>
        <v>1.0098287284125953</v>
      </c>
      <c r="P17" s="70"/>
    </row>
    <row r="18" spans="1:38" ht="15" thickBot="1" x14ac:dyDescent="0.25">
      <c r="A18" s="80" t="s">
        <v>36</v>
      </c>
      <c r="B18" s="67">
        <v>15.768260199074723</v>
      </c>
      <c r="C18" s="67">
        <v>12.76838960842886</v>
      </c>
      <c r="D18" s="70">
        <v>2.1137772461938669</v>
      </c>
      <c r="E18" s="70">
        <v>1.4644307058770047</v>
      </c>
      <c r="F18" s="70">
        <v>52.13731503260189</v>
      </c>
      <c r="G18" s="70">
        <v>36.120875647235685</v>
      </c>
      <c r="H18" s="70">
        <f t="shared" si="1"/>
        <v>62.937322175466541</v>
      </c>
      <c r="I18" s="70">
        <f t="shared" si="2"/>
        <v>1.6981320797550534</v>
      </c>
      <c r="J18" s="70">
        <f t="shared" si="3"/>
        <v>62.937322175466527</v>
      </c>
      <c r="K18" s="70">
        <f t="shared" si="4"/>
        <v>4.8682376568767483</v>
      </c>
      <c r="L18" s="70">
        <f t="shared" si="0"/>
        <v>3.2747843448652496</v>
      </c>
      <c r="M18" s="103">
        <v>53.703956903388104</v>
      </c>
      <c r="N18" s="103">
        <v>56.117824773413908</v>
      </c>
      <c r="O18" s="70">
        <f t="shared" si="5"/>
        <v>3.1969141011001234</v>
      </c>
      <c r="P18" s="70">
        <f t="shared" si="6"/>
        <v>2.2836886438445285</v>
      </c>
    </row>
    <row r="19" spans="1:38" ht="19.5" thickBot="1" x14ac:dyDescent="0.4">
      <c r="A19" s="80" t="s">
        <v>37</v>
      </c>
      <c r="B19" s="67">
        <v>6.8386178903879804</v>
      </c>
      <c r="C19" s="67">
        <v>3.1995195543452373</v>
      </c>
      <c r="D19" s="70">
        <v>0.29464467449449228</v>
      </c>
      <c r="E19" s="70">
        <v>0.35330039368080102</v>
      </c>
      <c r="F19" s="70">
        <v>10.448894323752558</v>
      </c>
      <c r="G19" s="70">
        <v>12.528984222926697</v>
      </c>
      <c r="H19" s="70">
        <f t="shared" si="1"/>
        <v>49.524274304783084</v>
      </c>
      <c r="I19" s="70">
        <f t="shared" si="2"/>
        <v>0.98115031775513484</v>
      </c>
      <c r="J19" s="70">
        <f t="shared" si="3"/>
        <v>49.524274304783091</v>
      </c>
      <c r="K19" s="70">
        <f t="shared" si="4"/>
        <v>2.5926033369270503</v>
      </c>
      <c r="L19" s="70">
        <f t="shared" si="0"/>
        <v>1.5711137346813653</v>
      </c>
      <c r="M19" s="103">
        <v>41.86682622446363</v>
      </c>
      <c r="N19" s="103"/>
      <c r="O19" s="70">
        <f t="shared" si="5"/>
        <v>1.6949833007830333</v>
      </c>
      <c r="P19" s="70"/>
      <c r="AG19" s="83" t="s">
        <v>205</v>
      </c>
      <c r="AH19" s="82">
        <v>1</v>
      </c>
      <c r="AJ19" s="66" t="s">
        <v>57</v>
      </c>
      <c r="AK19" s="66">
        <v>0.33</v>
      </c>
      <c r="AL19" s="66">
        <v>0.23</v>
      </c>
    </row>
    <row r="20" spans="1:38" ht="18.75" x14ac:dyDescent="0.35">
      <c r="A20" s="80" t="s">
        <v>38</v>
      </c>
      <c r="B20" s="67">
        <v>13.754209359708922</v>
      </c>
      <c r="C20" s="67">
        <v>5.4472836769687598</v>
      </c>
      <c r="D20" s="70">
        <v>0.90273905986402381</v>
      </c>
      <c r="E20" s="70">
        <v>1.27873286809396</v>
      </c>
      <c r="F20" s="70">
        <v>8.4208654197025563</v>
      </c>
      <c r="G20" s="70">
        <v>11.928183756213505</v>
      </c>
      <c r="H20" s="70">
        <f t="shared" si="1"/>
        <v>45.371478215277492</v>
      </c>
      <c r="I20" s="70">
        <f t="shared" si="2"/>
        <v>0.83054559656721549</v>
      </c>
      <c r="J20" s="70">
        <f t="shared" si="3"/>
        <v>45.371478215277492</v>
      </c>
      <c r="K20" s="70">
        <f t="shared" si="4"/>
        <v>2.0742755541596245</v>
      </c>
      <c r="L20" s="70">
        <f t="shared" si="0"/>
        <v>1.2206354350239685</v>
      </c>
      <c r="M20" s="103"/>
      <c r="N20" s="103">
        <v>40.169049427146966</v>
      </c>
      <c r="O20" s="70"/>
      <c r="P20" s="70">
        <f t="shared" si="6"/>
        <v>0.8687957753063773</v>
      </c>
      <c r="AG20" s="66" t="s">
        <v>58</v>
      </c>
      <c r="AH20" s="66">
        <v>1.6476</v>
      </c>
      <c r="AI20" s="66">
        <f>AH20/(AH20+AH19)</f>
        <v>0.62229944100317269</v>
      </c>
      <c r="AJ20" s="66" t="s">
        <v>206</v>
      </c>
      <c r="AK20" s="70">
        <f>100*(AH20*AK19)/(AH20*AK19+AH19)</f>
        <v>35.220909653898275</v>
      </c>
      <c r="AL20" s="70">
        <f>100*(AH20*AL19)/(AH20*AL19+AH19)</f>
        <v>27.480949245366759</v>
      </c>
    </row>
    <row r="21" spans="1:38" ht="18.75" x14ac:dyDescent="0.35">
      <c r="A21" s="80" t="s">
        <v>39</v>
      </c>
      <c r="B21" s="67">
        <v>14.568199520829156</v>
      </c>
      <c r="C21" s="67">
        <v>5.7204977466304996</v>
      </c>
      <c r="D21" s="70">
        <v>0.8380952006574709</v>
      </c>
      <c r="E21" s="70">
        <v>1.1973672401313959</v>
      </c>
      <c r="F21" s="70">
        <v>6.3626248561245129</v>
      </c>
      <c r="G21" s="70">
        <v>9.0901350562474637</v>
      </c>
      <c r="H21" s="70">
        <f t="shared" si="1"/>
        <v>45.159462202401755</v>
      </c>
      <c r="I21" s="70">
        <f t="shared" si="2"/>
        <v>0.82346862405093968</v>
      </c>
      <c r="J21" s="70">
        <f t="shared" si="3"/>
        <v>45.15946220240177</v>
      </c>
      <c r="K21" s="70">
        <f t="shared" si="4"/>
        <v>2.0498684042077344</v>
      </c>
      <c r="L21" s="70">
        <f t="shared" si="0"/>
        <v>1.2045066916260383</v>
      </c>
      <c r="M21" s="103">
        <v>38.411477592072181</v>
      </c>
      <c r="N21" s="103">
        <v>40.723270440251575</v>
      </c>
      <c r="O21" s="70">
        <f t="shared" si="5"/>
        <v>1.3688329302066016</v>
      </c>
      <c r="P21" s="70">
        <f t="shared" si="6"/>
        <v>0.90215922264430048</v>
      </c>
      <c r="AG21" s="66" t="s">
        <v>59</v>
      </c>
      <c r="AH21" s="66">
        <v>-9.2109000000000005</v>
      </c>
      <c r="AI21" s="70">
        <f>100*AI20</f>
        <v>62.229944100317269</v>
      </c>
      <c r="AJ21" s="66" t="s">
        <v>207</v>
      </c>
      <c r="AK21" s="70">
        <f>10^(((LOG(AI21)-LOG(252.7833-0.7825*AI21))/0.4602)+1.795)</f>
        <v>4.7221743458997762</v>
      </c>
      <c r="AL21" s="70">
        <f>10^((LOG(AI21)-LOG(36268.9182-188.1602*AI21))/0.4602+6.1409)</f>
        <v>3.1578219096679785</v>
      </c>
    </row>
    <row r="22" spans="1:38" ht="18.75" x14ac:dyDescent="0.35">
      <c r="A22" s="102" t="s">
        <v>40</v>
      </c>
      <c r="B22" s="67">
        <v>14.087381723107569</v>
      </c>
      <c r="C22" s="67">
        <v>7.6983731739707828</v>
      </c>
      <c r="D22" s="70">
        <v>0.99579494476740205</v>
      </c>
      <c r="E22" s="70">
        <v>1.0222643052874509</v>
      </c>
      <c r="F22" s="70">
        <v>18.826185989663472</v>
      </c>
      <c r="G22" s="70">
        <v>19.326607393484004</v>
      </c>
      <c r="H22" s="70">
        <f t="shared" si="1"/>
        <v>53.40185958744447</v>
      </c>
      <c r="I22" s="70">
        <f t="shared" si="2"/>
        <v>1.1460083839108679</v>
      </c>
      <c r="J22" s="70">
        <f t="shared" si="3"/>
        <v>53.401859587444477</v>
      </c>
      <c r="K22" s="70">
        <f t="shared" si="4"/>
        <v>3.1502826309527752</v>
      </c>
      <c r="L22" s="70">
        <f t="shared" si="0"/>
        <v>1.9644784872695342</v>
      </c>
      <c r="M22" s="103">
        <v>44.653979238754332</v>
      </c>
      <c r="N22" s="103">
        <v>47.064423992383368</v>
      </c>
      <c r="O22" s="70">
        <f t="shared" si="5"/>
        <v>1.9924532815590534</v>
      </c>
      <c r="P22" s="70">
        <f t="shared" si="6"/>
        <v>1.3553774889474026</v>
      </c>
      <c r="AG22" s="66" t="s">
        <v>208</v>
      </c>
      <c r="AH22" s="66">
        <v>0.96089999999999998</v>
      </c>
      <c r="AJ22" s="66" t="s">
        <v>209</v>
      </c>
      <c r="AK22" s="70">
        <f>((AK21/40.3044)/($AK$20/100)-(AK21/40.3044))*AH19*71.844</f>
        <v>15.481546380696566</v>
      </c>
      <c r="AL22" s="70">
        <f>((AL21/40.3044)/($AL$20/100)-(AL21/40.3044))*AH19*71.844</f>
        <v>14.854090248428891</v>
      </c>
    </row>
    <row r="23" spans="1:38" ht="15" x14ac:dyDescent="0.25">
      <c r="A23" s="80" t="s">
        <v>41</v>
      </c>
      <c r="B23" s="67">
        <v>14.258873006051328</v>
      </c>
      <c r="C23" s="67">
        <v>4.8242808150937062</v>
      </c>
      <c r="D23" s="70">
        <v>0.68816343110889444</v>
      </c>
      <c r="E23" s="70">
        <v>1.1410539223050824</v>
      </c>
      <c r="F23" s="70">
        <v>5.68280745125604</v>
      </c>
      <c r="G23" s="70">
        <v>9.422746747108345</v>
      </c>
      <c r="H23" s="70">
        <f t="shared" si="1"/>
        <v>41.504151607064699</v>
      </c>
      <c r="I23" s="70">
        <f t="shared" si="2"/>
        <v>0.70952303022033381</v>
      </c>
      <c r="J23" s="70">
        <f t="shared" si="3"/>
        <v>41.504151607064699</v>
      </c>
      <c r="K23" s="70">
        <f t="shared" si="4"/>
        <v>1.658587627029535</v>
      </c>
      <c r="L23" s="70">
        <f t="shared" si="0"/>
        <v>0.95075237864561313</v>
      </c>
      <c r="M23" s="103">
        <v>34.726203047216778</v>
      </c>
      <c r="N23" s="103"/>
      <c r="O23" s="70">
        <f t="shared" si="5"/>
        <v>1.069119421564632</v>
      </c>
      <c r="P23" s="70"/>
      <c r="Q23" s="82"/>
      <c r="AJ23" s="66" t="s">
        <v>61</v>
      </c>
      <c r="AK23" s="70">
        <f>(1-$AH22)*AK21</f>
        <v>0.18463701692468137</v>
      </c>
      <c r="AL23" s="70">
        <f>(1-$AH22)*AL21</f>
        <v>0.12347083666801803</v>
      </c>
    </row>
    <row r="24" spans="1:38" x14ac:dyDescent="0.2">
      <c r="A24" s="80" t="s">
        <v>42</v>
      </c>
      <c r="B24" s="67">
        <v>13.994459295261239</v>
      </c>
      <c r="C24" s="67">
        <v>3.9793438639125149</v>
      </c>
      <c r="D24" s="70">
        <v>0.50646520882856794</v>
      </c>
      <c r="E24" s="70">
        <v>0.99920874783800973</v>
      </c>
      <c r="F24" s="70">
        <v>3.6960470261273732</v>
      </c>
      <c r="G24" s="70">
        <v>7.2919569924046002</v>
      </c>
      <c r="H24" s="70">
        <f t="shared" si="1"/>
        <v>37.355653970136011</v>
      </c>
      <c r="I24" s="70">
        <f t="shared" si="2"/>
        <v>0.5963132563045308</v>
      </c>
      <c r="J24" s="70">
        <f t="shared" si="3"/>
        <v>37.355653970136004</v>
      </c>
      <c r="K24" s="70">
        <f t="shared" si="4"/>
        <v>1.2780659435558102</v>
      </c>
      <c r="L24" s="70">
        <f t="shared" si="0"/>
        <v>0.71310097033620889</v>
      </c>
      <c r="M24" s="103">
        <v>31.877348728282779</v>
      </c>
      <c r="N24" s="103"/>
      <c r="O24" s="70">
        <f t="shared" si="5"/>
        <v>0.86889436369902384</v>
      </c>
      <c r="P24" s="70"/>
    </row>
    <row r="25" spans="1:38" x14ac:dyDescent="0.2">
      <c r="A25" s="80" t="s">
        <v>43</v>
      </c>
      <c r="B25" s="67">
        <v>14.760587544773202</v>
      </c>
      <c r="C25" s="67">
        <v>4.5450440959576204</v>
      </c>
      <c r="D25" s="70">
        <v>0.57184437211265382</v>
      </c>
      <c r="E25" s="70">
        <v>1.0418503722469876</v>
      </c>
      <c r="F25" s="70">
        <v>4.5915668717580944</v>
      </c>
      <c r="G25" s="70">
        <v>8.3654327782659532</v>
      </c>
      <c r="H25" s="70">
        <f t="shared" si="1"/>
        <v>39.236834628823161</v>
      </c>
      <c r="I25" s="70">
        <f t="shared" si="2"/>
        <v>0.6457338815241388</v>
      </c>
      <c r="J25" s="70">
        <f t="shared" si="3"/>
        <v>39.236834628823161</v>
      </c>
      <c r="K25" s="70">
        <f t="shared" si="4"/>
        <v>1.4426261775758866</v>
      </c>
      <c r="L25" s="70">
        <f t="shared" si="0"/>
        <v>0.81472434061954913</v>
      </c>
      <c r="M25" s="103">
        <v>33.131985731272295</v>
      </c>
      <c r="N25" s="103"/>
      <c r="O25" s="70">
        <f t="shared" si="5"/>
        <v>0.953833528545037</v>
      </c>
      <c r="P25" s="70"/>
    </row>
    <row r="26" spans="1:38" ht="15" thickBot="1" x14ac:dyDescent="0.25">
      <c r="A26" s="80" t="s">
        <v>44</v>
      </c>
      <c r="B26" s="67">
        <v>14.731578352728508</v>
      </c>
      <c r="C26" s="67">
        <v>4.7760396873491455</v>
      </c>
      <c r="D26" s="70">
        <v>0.61555892468362861</v>
      </c>
      <c r="E26" s="70">
        <v>1.0651553214999729</v>
      </c>
      <c r="F26" s="70">
        <v>4.8166762489986494</v>
      </c>
      <c r="G26" s="70">
        <v>8.3347152203183565</v>
      </c>
      <c r="H26" s="70">
        <f t="shared" si="1"/>
        <v>40.472243548299929</v>
      </c>
      <c r="I26" s="70">
        <f t="shared" si="2"/>
        <v>0.67988860929335548</v>
      </c>
      <c r="J26" s="70">
        <f t="shared" si="3"/>
        <v>40.472243548299936</v>
      </c>
      <c r="K26" s="70">
        <f t="shared" si="4"/>
        <v>1.5578515019832109</v>
      </c>
      <c r="L26" s="70">
        <f t="shared" si="0"/>
        <v>0.88693350458180198</v>
      </c>
      <c r="M26" s="103">
        <v>34.290556444779206</v>
      </c>
      <c r="N26" s="103"/>
      <c r="O26" s="70">
        <f t="shared" si="5"/>
        <v>1.0367820889370658</v>
      </c>
      <c r="P26" s="70"/>
    </row>
    <row r="27" spans="1:38" ht="19.5" thickBot="1" x14ac:dyDescent="0.4">
      <c r="A27" s="80" t="s">
        <v>45</v>
      </c>
      <c r="B27" s="67">
        <v>15.273120563754278</v>
      </c>
      <c r="C27" s="67">
        <v>5.4128580912015511</v>
      </c>
      <c r="D27" s="70">
        <v>0.70197212822982535</v>
      </c>
      <c r="E27" s="70">
        <v>1.1111762840430008</v>
      </c>
      <c r="F27" s="70">
        <v>5.3665418125144804</v>
      </c>
      <c r="G27" s="70">
        <v>8.4948871181376742</v>
      </c>
      <c r="H27" s="70">
        <f t="shared" si="1"/>
        <v>42.634927357558702</v>
      </c>
      <c r="I27" s="70">
        <f t="shared" si="2"/>
        <v>0.74322101225782167</v>
      </c>
      <c r="J27" s="70">
        <f t="shared" si="3"/>
        <v>42.634927357558702</v>
      </c>
      <c r="K27" s="70">
        <f t="shared" si="4"/>
        <v>1.7737954578261801</v>
      </c>
      <c r="L27" s="70">
        <f t="shared" si="0"/>
        <v>1.0245105103812671</v>
      </c>
      <c r="M27" s="103">
        <v>36.258619932358236</v>
      </c>
      <c r="N27" s="103"/>
      <c r="O27" s="70">
        <f t="shared" si="5"/>
        <v>1.1879746708099352</v>
      </c>
      <c r="P27" s="70"/>
      <c r="AG27" s="83" t="s">
        <v>205</v>
      </c>
      <c r="AH27" s="82">
        <v>0.85</v>
      </c>
      <c r="AJ27" s="66" t="s">
        <v>57</v>
      </c>
      <c r="AK27" s="66">
        <v>0.33</v>
      </c>
      <c r="AL27" s="66">
        <v>0.23</v>
      </c>
    </row>
    <row r="28" spans="1:38" ht="18.75" x14ac:dyDescent="0.35">
      <c r="A28" s="80" t="s">
        <v>46</v>
      </c>
      <c r="B28" s="67">
        <v>9.9055158755240882</v>
      </c>
      <c r="C28" s="67">
        <v>5.393675073214923</v>
      </c>
      <c r="D28" s="70">
        <v>0.82868284701470418</v>
      </c>
      <c r="E28" s="70">
        <v>0.85377340782044886</v>
      </c>
      <c r="F28" s="70">
        <v>9.5174856304125974</v>
      </c>
      <c r="G28" s="70">
        <v>9.8056526327681208</v>
      </c>
      <c r="H28" s="70">
        <f t="shared" si="1"/>
        <v>53.312406610476287</v>
      </c>
      <c r="I28" s="70">
        <f t="shared" si="2"/>
        <v>1.1418966526220458</v>
      </c>
      <c r="J28" s="70">
        <f t="shared" si="3"/>
        <v>53.31240661047628</v>
      </c>
      <c r="K28" s="70">
        <f t="shared" si="4"/>
        <v>3.1365656198136027</v>
      </c>
      <c r="L28" s="70">
        <f t="shared" si="0"/>
        <v>1.9546075423379916</v>
      </c>
      <c r="M28" s="103">
        <v>45.980253878702406</v>
      </c>
      <c r="N28" s="103">
        <v>48.408474222500516</v>
      </c>
      <c r="O28" s="70">
        <f t="shared" si="5"/>
        <v>2.1454371803823507</v>
      </c>
      <c r="P28" s="70">
        <f>10^((LOG(N28)-LOG(36268.9182-188.1602*N28))/0.4602+6.1409)</f>
        <v>1.4702093022791274</v>
      </c>
      <c r="AG28" s="66" t="s">
        <v>58</v>
      </c>
      <c r="AH28" s="66">
        <v>1.6476</v>
      </c>
      <c r="AI28" s="66">
        <f>AH28/(AH28+AH27)</f>
        <v>0.65967328635490075</v>
      </c>
      <c r="AJ28" s="66" t="s">
        <v>206</v>
      </c>
      <c r="AK28" s="70">
        <f>100*(AH28*AK27)/(AH28*AK27+AH27)</f>
        <v>39.011615058534495</v>
      </c>
      <c r="AL28" s="70">
        <f>100*(AH28*AL27)/(AH28*AL27+AH27)</f>
        <v>30.835153318122497</v>
      </c>
    </row>
    <row r="29" spans="1:38" ht="18.75" x14ac:dyDescent="0.35">
      <c r="A29" s="80" t="s">
        <v>47</v>
      </c>
      <c r="B29" s="67">
        <v>12.54877047883282</v>
      </c>
      <c r="C29" s="67">
        <v>6.5933138522886683</v>
      </c>
      <c r="D29" s="70">
        <v>0.9224579248303143</v>
      </c>
      <c r="E29" s="70">
        <v>0.98493132254592597</v>
      </c>
      <c r="F29" s="70">
        <v>13.418000070385277</v>
      </c>
      <c r="G29" s="70">
        <v>14.326733176125014</v>
      </c>
      <c r="H29" s="70">
        <f t="shared" si="1"/>
        <v>52.42282051886432</v>
      </c>
      <c r="I29" s="70">
        <f t="shared" si="2"/>
        <v>1.1018480097091492</v>
      </c>
      <c r="J29" s="70">
        <f t="shared" si="3"/>
        <v>52.422820518864313</v>
      </c>
      <c r="K29" s="70">
        <f t="shared" si="4"/>
        <v>3.0023912553948358</v>
      </c>
      <c r="L29" s="70">
        <f t="shared" si="0"/>
        <v>1.8585677811311414</v>
      </c>
      <c r="M29" s="103">
        <v>44.059473468830994</v>
      </c>
      <c r="N29" s="103">
        <v>46.462000858737653</v>
      </c>
      <c r="O29" s="70">
        <f t="shared" si="5"/>
        <v>1.9263112246102077</v>
      </c>
      <c r="P29" s="70">
        <f>10^((LOG(N29)-LOG(36268.9182-188.1602*N29))/0.4602+6.1409)</f>
        <v>1.3061971571033992</v>
      </c>
      <c r="AG29" s="66" t="s">
        <v>59</v>
      </c>
      <c r="AH29" s="66">
        <v>-9.2109000000000005</v>
      </c>
      <c r="AI29" s="70">
        <f>100*AI28</f>
        <v>65.967328635490077</v>
      </c>
      <c r="AJ29" s="66" t="s">
        <v>207</v>
      </c>
      <c r="AK29" s="70">
        <f>10^(((LOG(AI29)-LOG(252.7833-0.7825*AI29))/0.4602)+1.795)</f>
        <v>5.5309911992772225</v>
      </c>
      <c r="AL29" s="70">
        <f>10^((LOG(AI29)-LOG(36268.9182-188.1602*AI29))/0.4602+6.1409)</f>
        <v>3.8180686634507053</v>
      </c>
    </row>
    <row r="30" spans="1:38" ht="18.75" x14ac:dyDescent="0.35">
      <c r="A30" s="80" t="s">
        <v>48</v>
      </c>
      <c r="B30" s="67">
        <v>9.9736776176591349</v>
      </c>
      <c r="C30" s="67">
        <v>5.1895283108243246</v>
      </c>
      <c r="D30" s="70">
        <v>0.70781275041767544</v>
      </c>
      <c r="E30" s="70">
        <v>0.76314625710985229</v>
      </c>
      <c r="F30" s="70">
        <v>13.219406406555985</v>
      </c>
      <c r="G30" s="70">
        <v>14.25283807677121</v>
      </c>
      <c r="H30" s="70">
        <f t="shared" si="1"/>
        <v>52.17983765667578</v>
      </c>
      <c r="I30" s="70">
        <f t="shared" si="2"/>
        <v>1.091168141213142</v>
      </c>
      <c r="J30" s="70">
        <f t="shared" si="3"/>
        <v>52.179837656675772</v>
      </c>
      <c r="K30" s="70">
        <f t="shared" si="4"/>
        <v>2.96644317007194</v>
      </c>
      <c r="L30" s="70">
        <f t="shared" si="0"/>
        <v>1.8329959137553611</v>
      </c>
      <c r="M30" s="103"/>
      <c r="N30" s="103">
        <v>46.366852356361569</v>
      </c>
      <c r="O30" s="70"/>
      <c r="P30" s="70">
        <f>10^((LOG(N30)-LOG(36268.9182-188.1602*N30))/0.4602+6.1409)</f>
        <v>1.2985556631813548</v>
      </c>
      <c r="AG30" s="66" t="s">
        <v>208</v>
      </c>
      <c r="AH30" s="66">
        <v>0.96089999999999998</v>
      </c>
      <c r="AJ30" s="66" t="s">
        <v>209</v>
      </c>
      <c r="AK30" s="70">
        <f>((AK29/40.3044)/($AK$28/100)-(AK29/40.3044))*AH27*71.844</f>
        <v>13.101262235121899</v>
      </c>
      <c r="AL30" s="70">
        <f>((AL29/40.3044)/($AL$28/100)-(AL29/40.3044))*AH27*71.844</f>
        <v>12.975975306571586</v>
      </c>
    </row>
    <row r="31" spans="1:38" x14ac:dyDescent="0.2">
      <c r="A31" s="80" t="s">
        <v>49</v>
      </c>
      <c r="B31" s="67">
        <v>18.172450175849939</v>
      </c>
      <c r="C31" s="67">
        <v>9.9008845784930184</v>
      </c>
      <c r="D31" s="70">
        <v>2.3980984301303807</v>
      </c>
      <c r="E31" s="70">
        <v>2.4692692608361191</v>
      </c>
      <c r="F31" s="70">
        <v>13.615967179116039</v>
      </c>
      <c r="G31" s="70">
        <v>14.020062224934101</v>
      </c>
      <c r="H31" s="70">
        <f t="shared" si="1"/>
        <v>53.326896472183407</v>
      </c>
      <c r="I31" s="70">
        <f t="shared" si="2"/>
        <v>1.1425616134654777</v>
      </c>
      <c r="J31" s="70">
        <f t="shared" si="3"/>
        <v>53.326896472183407</v>
      </c>
      <c r="K31" s="70">
        <f t="shared" si="4"/>
        <v>3.1387847324722022</v>
      </c>
      <c r="L31" s="70">
        <f t="shared" si="0"/>
        <v>1.9562037870955256</v>
      </c>
      <c r="M31" s="103">
        <v>45.176848874598072</v>
      </c>
      <c r="N31" s="103">
        <v>47.545785956080202</v>
      </c>
      <c r="O31" s="70">
        <f>10^(((LOG(M31)-LOG(252.7833-0.7825*M31))/0.4602)+1.795)</f>
        <v>2.0518626797136106</v>
      </c>
      <c r="P31" s="70">
        <f>10^((LOG(N31)-LOG(36268.9182-188.1602*N31))/0.4602+6.1409)</f>
        <v>1.3956817344048884</v>
      </c>
      <c r="AJ31" s="66" t="s">
        <v>61</v>
      </c>
      <c r="AK31" s="70">
        <f>(1-$AH30)*AK29</f>
        <v>0.21626175589173954</v>
      </c>
      <c r="AL31" s="70">
        <f>(1-$AH30)*AL29</f>
        <v>0.14928648474092265</v>
      </c>
    </row>
    <row r="32" spans="1:38" x14ac:dyDescent="0.2">
      <c r="A32" s="80" t="s">
        <v>50</v>
      </c>
      <c r="B32" s="67">
        <v>10.829250288844198</v>
      </c>
      <c r="C32" s="67">
        <v>6.1299157002867055</v>
      </c>
      <c r="D32" s="70">
        <v>0.64625321234075639</v>
      </c>
      <c r="E32" s="70">
        <v>0.64048440591410694</v>
      </c>
      <c r="F32" s="70">
        <v>15.969616785879708</v>
      </c>
      <c r="G32" s="70">
        <v>15.82706333131067</v>
      </c>
      <c r="H32" s="70">
        <f t="shared" si="1"/>
        <v>54.276663501498817</v>
      </c>
      <c r="I32" s="70">
        <f t="shared" si="2"/>
        <v>1.1870669915630061</v>
      </c>
      <c r="J32" s="70">
        <f t="shared" si="3"/>
        <v>54.276663501498803</v>
      </c>
      <c r="K32" s="70">
        <f t="shared" si="4"/>
        <v>3.2866259708251264</v>
      </c>
      <c r="L32" s="70">
        <f t="shared" si="0"/>
        <v>2.0631189830344154</v>
      </c>
      <c r="M32" s="103">
        <v>45.952547103977679</v>
      </c>
      <c r="N32" s="103"/>
      <c r="O32" s="70">
        <f>10^(((LOG(M32)-LOG(252.7833-0.7825*M32))/0.4602)+1.795)</f>
        <v>2.1421634493723105</v>
      </c>
      <c r="P32" s="70"/>
    </row>
    <row r="33" spans="1:17" x14ac:dyDescent="0.2">
      <c r="A33" s="80" t="s">
        <v>51</v>
      </c>
      <c r="B33" s="67">
        <v>10.725942778063176</v>
      </c>
      <c r="C33" s="67">
        <v>6.374301500267344</v>
      </c>
      <c r="D33" s="70">
        <v>0.90903496261065575</v>
      </c>
      <c r="E33" s="70">
        <v>0.8581148495104246</v>
      </c>
      <c r="F33" s="70">
        <v>13.816453122016684</v>
      </c>
      <c r="G33" s="70">
        <v>13.042516601911176</v>
      </c>
      <c r="H33" s="70">
        <f t="shared" si="1"/>
        <v>55.481987547271835</v>
      </c>
      <c r="I33" s="70">
        <f t="shared" si="2"/>
        <v>1.2462817742859895</v>
      </c>
      <c r="J33" s="70">
        <f t="shared" si="3"/>
        <v>55.481987547271828</v>
      </c>
      <c r="K33" s="70">
        <f t="shared" si="4"/>
        <v>3.4811250071267645</v>
      </c>
      <c r="L33" s="70">
        <f t="shared" si="0"/>
        <v>2.2054740469320002</v>
      </c>
      <c r="M33" s="103"/>
      <c r="N33" s="103">
        <v>49.89041185514737</v>
      </c>
      <c r="O33" s="70"/>
      <c r="P33" s="70">
        <f>10^((LOG(N33)-LOG(36268.9182-188.1602*N33))/0.4602+6.1409)</f>
        <v>1.6053670426552071</v>
      </c>
    </row>
    <row r="34" spans="1:17" x14ac:dyDescent="0.2">
      <c r="A34" s="80" t="s">
        <v>52</v>
      </c>
      <c r="B34" s="67">
        <v>11.468752109823336</v>
      </c>
      <c r="C34" s="67">
        <v>4.7771515083318832</v>
      </c>
      <c r="D34" s="70">
        <v>0.61723751426150653</v>
      </c>
      <c r="E34" s="70">
        <v>0.83130696713889041</v>
      </c>
      <c r="F34" s="70">
        <v>6.8853668670701671</v>
      </c>
      <c r="G34" s="70">
        <v>9.2733401902037755</v>
      </c>
      <c r="H34" s="70">
        <f t="shared" si="1"/>
        <v>46.624484897442542</v>
      </c>
      <c r="I34" s="70">
        <f t="shared" si="2"/>
        <v>0.87351821912831618</v>
      </c>
      <c r="J34" s="70">
        <f t="shared" si="3"/>
        <v>46.624484897442535</v>
      </c>
      <c r="K34" s="70">
        <f t="shared" si="4"/>
        <v>2.2225074133136316</v>
      </c>
      <c r="L34" s="70">
        <f t="shared" si="0"/>
        <v>1.3193255917512507</v>
      </c>
      <c r="M34" s="103">
        <v>39.791197057776721</v>
      </c>
      <c r="N34" s="103">
        <v>42.146655681222384</v>
      </c>
      <c r="O34" s="70">
        <f>10^(((LOG(M34)-LOG(252.7833-0.7825*M34))/0.4602)+1.795)</f>
        <v>1.4936159220342722</v>
      </c>
      <c r="P34" s="70">
        <f>10^((LOG(N34)-LOG(36268.9182-188.1602*N34))/0.4602+6.1409)</f>
        <v>0.99216039386760091</v>
      </c>
    </row>
    <row r="35" spans="1:17" x14ac:dyDescent="0.2">
      <c r="A35" s="80" t="s">
        <v>53</v>
      </c>
      <c r="B35" s="67">
        <v>14.663461479956595</v>
      </c>
      <c r="C35" s="67">
        <v>7.9301497804504564</v>
      </c>
      <c r="D35" s="70">
        <v>1.056764644983301</v>
      </c>
      <c r="E35" s="70">
        <v>1.0962139988612554</v>
      </c>
      <c r="F35" s="70">
        <v>13.404739929139252</v>
      </c>
      <c r="G35" s="70">
        <v>13.905143052594347</v>
      </c>
      <c r="H35" s="70">
        <f t="shared" si="1"/>
        <v>53.142565265253047</v>
      </c>
      <c r="I35" s="70">
        <f t="shared" si="2"/>
        <v>1.134133047745471</v>
      </c>
      <c r="J35" s="70">
        <f t="shared" si="3"/>
        <v>53.142565265253047</v>
      </c>
      <c r="K35" s="70">
        <f t="shared" si="4"/>
        <v>3.1106353617486517</v>
      </c>
      <c r="L35" s="70">
        <f t="shared" si="0"/>
        <v>1.9359743305060628</v>
      </c>
      <c r="M35" s="103">
        <v>45.076282940360613</v>
      </c>
      <c r="N35" s="103">
        <v>47.495183044315993</v>
      </c>
      <c r="O35" s="70">
        <f>10^(((LOG(M35)-LOG(252.7833-0.7825*M35))/0.4602)+1.795)</f>
        <v>2.040345550594008</v>
      </c>
      <c r="P35" s="70">
        <f>10^((LOG(N35)-LOG(36268.9182-188.1602*N35))/0.4602+6.1409)</f>
        <v>1.391402134287949</v>
      </c>
    </row>
    <row r="36" spans="1:17" x14ac:dyDescent="0.2">
      <c r="A36" s="80"/>
      <c r="B36" s="67"/>
      <c r="C36" s="67"/>
      <c r="K36" s="69"/>
      <c r="L36" s="70"/>
      <c r="P36" s="70"/>
      <c r="Q36" s="70"/>
    </row>
  </sheetData>
  <sortState xmlns:xlrd2="http://schemas.microsoft.com/office/spreadsheetml/2017/richdata2" ref="AN2:AO35">
    <sortCondition ref="AN2:AN35"/>
  </sortState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501E2-BC9A-4EC3-B7BE-7A63A3F81925}">
  <dimension ref="A1:AH50"/>
  <sheetViews>
    <sheetView zoomScale="85" zoomScaleNormal="85" workbookViewId="0">
      <selection activeCell="M28" sqref="M28"/>
    </sheetView>
  </sheetViews>
  <sheetFormatPr defaultRowHeight="15" x14ac:dyDescent="0.25"/>
  <cols>
    <col min="1" max="1" width="15.140625" bestFit="1" customWidth="1"/>
    <col min="2" max="4" width="8.85546875" bestFit="1" customWidth="1"/>
    <col min="5" max="5" width="9.140625" customWidth="1"/>
    <col min="6" max="12" width="12.140625" bestFit="1" customWidth="1"/>
    <col min="13" max="13" width="27" bestFit="1" customWidth="1"/>
    <col min="14" max="14" width="19" bestFit="1" customWidth="1"/>
    <col min="15" max="15" width="24.85546875" bestFit="1" customWidth="1"/>
    <col min="16" max="16" width="17.140625" bestFit="1" customWidth="1"/>
    <col min="17" max="17" width="24.85546875" bestFit="1" customWidth="1"/>
    <col min="18" max="18" width="17.140625" bestFit="1" customWidth="1"/>
    <col min="19" max="19" width="12.140625" bestFit="1" customWidth="1"/>
    <col min="20" max="20" width="26.28515625" bestFit="1" customWidth="1"/>
    <col min="21" max="22" width="23.5703125" bestFit="1" customWidth="1"/>
    <col min="26" max="26" width="10.7109375" bestFit="1" customWidth="1"/>
    <col min="27" max="27" width="7.85546875" bestFit="1" customWidth="1"/>
    <col min="37" max="37" width="26.7109375" bestFit="1" customWidth="1"/>
    <col min="39" max="39" width="10.85546875" bestFit="1" customWidth="1"/>
    <col min="40" max="40" width="21.28515625" bestFit="1" customWidth="1"/>
    <col min="41" max="41" width="22.140625" bestFit="1" customWidth="1"/>
    <col min="42" max="42" width="12.28515625" bestFit="1" customWidth="1"/>
  </cols>
  <sheetData>
    <row r="1" spans="1:20" x14ac:dyDescent="0.25">
      <c r="A1" s="66" t="s">
        <v>0</v>
      </c>
      <c r="B1" s="66" t="s">
        <v>62</v>
      </c>
      <c r="C1" s="66" t="s">
        <v>5</v>
      </c>
      <c r="D1" s="66" t="s">
        <v>9</v>
      </c>
      <c r="E1" s="66" t="s">
        <v>10</v>
      </c>
      <c r="F1" s="66" t="s">
        <v>11</v>
      </c>
      <c r="G1" s="66" t="s">
        <v>12</v>
      </c>
      <c r="H1" s="66" t="s">
        <v>13</v>
      </c>
      <c r="I1" s="66" t="s">
        <v>63</v>
      </c>
      <c r="J1" s="66" t="s">
        <v>90</v>
      </c>
      <c r="K1" s="66" t="s">
        <v>14</v>
      </c>
      <c r="L1" s="66" t="s">
        <v>15</v>
      </c>
      <c r="M1" s="66" t="s">
        <v>64</v>
      </c>
      <c r="N1" s="66" t="s">
        <v>65</v>
      </c>
      <c r="O1" s="66" t="s">
        <v>66</v>
      </c>
      <c r="P1" s="66" t="s">
        <v>67</v>
      </c>
      <c r="Q1" s="71" t="s">
        <v>18</v>
      </c>
      <c r="R1" s="72" t="s">
        <v>19</v>
      </c>
      <c r="S1" s="72" t="s">
        <v>68</v>
      </c>
      <c r="T1" s="73" t="s">
        <v>69</v>
      </c>
    </row>
    <row r="2" spans="1:20" x14ac:dyDescent="0.25">
      <c r="A2" s="66" t="s">
        <v>70</v>
      </c>
      <c r="B2" s="66">
        <v>9.8708060000000017</v>
      </c>
      <c r="C2" s="66">
        <v>12.65</v>
      </c>
      <c r="D2" s="70">
        <v>2.7351555517214852</v>
      </c>
      <c r="E2" s="70">
        <v>1.1973085319236316</v>
      </c>
      <c r="F2" s="70">
        <v>53.333752484022128</v>
      </c>
      <c r="G2" s="70">
        <v>23.346736842236197</v>
      </c>
      <c r="H2" s="70">
        <v>24.893617021276597</v>
      </c>
      <c r="I2" s="70">
        <v>1.0675213675213675</v>
      </c>
      <c r="J2" s="70">
        <f>(C2/40.3044)/((C2/40.3044)+(0.85*B2/71.844))</f>
        <v>0.7288174523255917</v>
      </c>
      <c r="K2" s="70">
        <f>(C2/40.3044)/(0.85*B2/71.844)</f>
        <v>2.6875529364840856</v>
      </c>
      <c r="L2" s="70">
        <f>100*(K2/(1+K2))</f>
        <v>72.881745232559169</v>
      </c>
      <c r="M2" s="70">
        <f>10^(((LOG(L2)-LOG(252.7833-0.7825*L2))/0.4602)+1.795)</f>
        <v>7.2878623935845903</v>
      </c>
      <c r="N2" s="70">
        <f t="shared" ref="N2:N20" si="0">(((M2/40.3044)/J2)-(M2/40.3044))*71.844</f>
        <v>4.833716558537847</v>
      </c>
      <c r="O2" s="70">
        <f>10^((LOG(L2)-LOG(36268.9182-188.1602*L2))/0.4602+6.1409)</f>
        <v>5.3559074802917381</v>
      </c>
      <c r="P2" s="70">
        <f t="shared" ref="P2:P20" si="1">(((O2/40.3044)/J2)-(O2/40.3044))*71.844</f>
        <v>3.5523363745551215</v>
      </c>
      <c r="Q2" s="104">
        <v>65.055508112724169</v>
      </c>
      <c r="R2" s="70">
        <v>67.229294231388977</v>
      </c>
      <c r="S2" s="70">
        <f>10^(((LOG(Q2)-LOG(252.7833-0.7825*Q2))/0.4602)+1.795)</f>
        <v>5.3250842067131376</v>
      </c>
      <c r="T2" s="75">
        <f>10^((LOG(R2)-LOG(36268.9182-188.1602*R2))/0.4602+6.1409)</f>
        <v>4.0659928989310492</v>
      </c>
    </row>
    <row r="3" spans="1:20" x14ac:dyDescent="0.25">
      <c r="A3" s="66" t="s">
        <v>71</v>
      </c>
      <c r="B3" s="66">
        <v>8.467118000000001</v>
      </c>
      <c r="C3" s="66">
        <v>9.9600000000000009</v>
      </c>
      <c r="D3" s="70">
        <v>1.641452520262173</v>
      </c>
      <c r="E3" s="70">
        <v>0.78282836779725617</v>
      </c>
      <c r="F3" s="70">
        <v>45.898696962626047</v>
      </c>
      <c r="G3" s="70">
        <v>21.889638343931235</v>
      </c>
      <c r="H3" s="70">
        <v>35.697674418604649</v>
      </c>
      <c r="I3" s="70">
        <v>0.79283387622149837</v>
      </c>
      <c r="J3" s="70">
        <f t="shared" ref="J3:J20" si="2">(C3/40.3044)/((C3/40.3044)+(0.85*B3/71.844))</f>
        <v>0.71155376405246995</v>
      </c>
      <c r="K3" s="70">
        <f t="shared" ref="K3:K20" si="3">(C3/40.3044)/(0.85*B3/71.844)</f>
        <v>2.4668505786357549</v>
      </c>
      <c r="L3" s="70">
        <f t="shared" ref="L3:L20" si="4">100*(K3/(1+K3))</f>
        <v>71.155376405246997</v>
      </c>
      <c r="M3" s="70">
        <f t="shared" ref="M3:M20" si="5">10^(((LOG(L3)-LOG(252.7833-0.7825*L3))/0.4602)+1.795)</f>
        <v>6.8153346297785813</v>
      </c>
      <c r="N3" s="70">
        <f t="shared" si="0"/>
        <v>4.9247295323140898</v>
      </c>
      <c r="O3" s="70">
        <f t="shared" ref="O3:O20" si="6">10^((LOG(L3)-LOG(36268.9182-188.1602*L3))/0.4602+6.1409)</f>
        <v>4.9285171264491296</v>
      </c>
      <c r="P3" s="70">
        <f t="shared" si="1"/>
        <v>3.5613238617937606</v>
      </c>
      <c r="Q3" s="104">
        <v>63.19444444444445</v>
      </c>
      <c r="R3" s="70">
        <v>65.431380534062484</v>
      </c>
      <c r="S3" s="70">
        <f t="shared" ref="S3:S20" si="7">10^(((LOG(Q3)-LOG(252.7833-0.7825*Q3))/0.4602)+1.795)</f>
        <v>4.9221251281197773</v>
      </c>
      <c r="T3" s="75">
        <f t="shared" ref="T3:T20" si="8">10^((LOG(R3)-LOG(36268.9182-188.1602*R3))/0.4602+6.1409)</f>
        <v>3.7167603389512016</v>
      </c>
    </row>
    <row r="4" spans="1:20" x14ac:dyDescent="0.25">
      <c r="A4" s="66" t="s">
        <v>72</v>
      </c>
      <c r="B4" s="66">
        <v>9.3309259999999998</v>
      </c>
      <c r="C4" s="66">
        <v>11.46</v>
      </c>
      <c r="D4" s="70">
        <v>2.1732323167620939</v>
      </c>
      <c r="E4" s="70">
        <v>0.99267763704584999</v>
      </c>
      <c r="F4" s="70">
        <v>56.771987673802364</v>
      </c>
      <c r="G4" s="70">
        <v>25.93201018581928</v>
      </c>
      <c r="H4" s="70">
        <v>33.349999999999994</v>
      </c>
      <c r="I4" s="70">
        <v>0.95502248875562223</v>
      </c>
      <c r="J4" s="70">
        <f t="shared" si="2"/>
        <v>0.72032692479454852</v>
      </c>
      <c r="K4" s="70">
        <f t="shared" si="3"/>
        <v>2.5756034050306313</v>
      </c>
      <c r="L4" s="70">
        <f t="shared" si="4"/>
        <v>72.032692479454852</v>
      </c>
      <c r="M4" s="70">
        <f t="shared" si="5"/>
        <v>7.0525174596046849</v>
      </c>
      <c r="N4" s="70">
        <f t="shared" si="0"/>
        <v>4.8809372382100698</v>
      </c>
      <c r="O4" s="70">
        <f t="shared" si="6"/>
        <v>5.1417855566304533</v>
      </c>
      <c r="P4" s="70">
        <f t="shared" si="1"/>
        <v>3.5585495162538772</v>
      </c>
      <c r="Q4" s="104">
        <v>63.957237400305445</v>
      </c>
      <c r="R4" s="70">
        <v>66.171122022185855</v>
      </c>
      <c r="S4" s="70">
        <f t="shared" si="7"/>
        <v>5.0845189682006637</v>
      </c>
      <c r="T4" s="75">
        <f t="shared" si="8"/>
        <v>3.8572051484750656</v>
      </c>
    </row>
    <row r="5" spans="1:20" x14ac:dyDescent="0.25">
      <c r="A5" s="66" t="s">
        <v>73</v>
      </c>
      <c r="B5" s="66">
        <v>10.752610000000001</v>
      </c>
      <c r="C5" s="66">
        <v>11.8</v>
      </c>
      <c r="D5" s="70">
        <v>2.7976601343997114</v>
      </c>
      <c r="E5" s="70">
        <v>1.4301737326636121</v>
      </c>
      <c r="F5" s="70">
        <v>38.332014679762423</v>
      </c>
      <c r="G5" s="70">
        <v>19.595461164490278</v>
      </c>
      <c r="H5" s="70">
        <v>17.491803278688526</v>
      </c>
      <c r="I5" s="70">
        <v>1.1396438612933459</v>
      </c>
      <c r="J5" s="70">
        <f t="shared" si="2"/>
        <v>0.69709582938190517</v>
      </c>
      <c r="K5" s="70">
        <f t="shared" si="3"/>
        <v>2.3013741539426067</v>
      </c>
      <c r="L5" s="70">
        <f t="shared" si="4"/>
        <v>69.709582938190508</v>
      </c>
      <c r="M5" s="70">
        <f t="shared" si="5"/>
        <v>6.4374441678503507</v>
      </c>
      <c r="N5" s="70">
        <f t="shared" si="0"/>
        <v>4.9861379282727913</v>
      </c>
      <c r="O5" s="70">
        <f t="shared" si="6"/>
        <v>4.5939840833051395</v>
      </c>
      <c r="P5" s="70">
        <f t="shared" si="1"/>
        <v>3.5582814673635177</v>
      </c>
      <c r="Q5" s="104">
        <v>61.678832116788321</v>
      </c>
      <c r="R5" s="70">
        <v>63.970826580226905</v>
      </c>
      <c r="S5" s="70">
        <f t="shared" si="7"/>
        <v>4.6105769556598508</v>
      </c>
      <c r="T5" s="75">
        <f t="shared" si="8"/>
        <v>3.4522061233969596</v>
      </c>
    </row>
    <row r="6" spans="1:20" x14ac:dyDescent="0.25">
      <c r="A6" s="66" t="s">
        <v>74</v>
      </c>
      <c r="B6" s="66">
        <v>10.365696</v>
      </c>
      <c r="C6" s="66">
        <v>13.74</v>
      </c>
      <c r="D6" s="70">
        <v>3.6859751795727411</v>
      </c>
      <c r="E6" s="70">
        <v>1.5600053860069034</v>
      </c>
      <c r="F6" s="70">
        <v>56.722448417542502</v>
      </c>
      <c r="G6" s="70">
        <v>24.006489660932022</v>
      </c>
      <c r="H6" s="70">
        <v>19.645833333333332</v>
      </c>
      <c r="I6" s="70">
        <v>1.3594909862142099</v>
      </c>
      <c r="J6" s="70">
        <f t="shared" si="2"/>
        <v>0.7354329741507114</v>
      </c>
      <c r="K6" s="70">
        <f t="shared" si="3"/>
        <v>2.7797605230277371</v>
      </c>
      <c r="L6" s="70">
        <f t="shared" si="4"/>
        <v>73.543297415071137</v>
      </c>
      <c r="M6" s="70">
        <f t="shared" si="5"/>
        <v>7.475264003115071</v>
      </c>
      <c r="N6" s="70">
        <f t="shared" si="0"/>
        <v>4.7935492758099558</v>
      </c>
      <c r="O6" s="70">
        <f t="shared" si="6"/>
        <v>5.5281908021347856</v>
      </c>
      <c r="P6" s="70">
        <f t="shared" si="1"/>
        <v>3.5449791479029495</v>
      </c>
      <c r="Q6" s="104">
        <v>65.814591332967638</v>
      </c>
      <c r="R6" s="70">
        <v>67.964951133792312</v>
      </c>
      <c r="S6" s="70">
        <f t="shared" si="7"/>
        <v>5.4961035346740985</v>
      </c>
      <c r="T6" s="75">
        <f t="shared" si="8"/>
        <v>4.2168097434303746</v>
      </c>
    </row>
    <row r="7" spans="1:20" x14ac:dyDescent="0.25">
      <c r="A7" s="66" t="s">
        <v>75</v>
      </c>
      <c r="B7" s="66">
        <v>7.9272380000000009</v>
      </c>
      <c r="C7" s="66">
        <v>9.3000000000000007</v>
      </c>
      <c r="D7" s="70">
        <v>1.4640113317615608</v>
      </c>
      <c r="E7" s="70">
        <v>0.70007624768967214</v>
      </c>
      <c r="F7" s="70">
        <v>37.609394548303733</v>
      </c>
      <c r="G7" s="70">
        <v>17.984453564014551</v>
      </c>
      <c r="H7" s="70">
        <v>32.795918367346943</v>
      </c>
      <c r="I7" s="70">
        <v>0.87616677037958923</v>
      </c>
      <c r="J7" s="70">
        <f t="shared" si="2"/>
        <v>0.71100397974007334</v>
      </c>
      <c r="K7" s="70">
        <f t="shared" si="3"/>
        <v>2.460255262686966</v>
      </c>
      <c r="L7" s="70">
        <f t="shared" si="4"/>
        <v>71.10039797400735</v>
      </c>
      <c r="M7" s="70">
        <f t="shared" si="5"/>
        <v>6.8006713717515686</v>
      </c>
      <c r="N7" s="70">
        <f t="shared" si="0"/>
        <v>4.9273074672163446</v>
      </c>
      <c r="O7" s="70">
        <f t="shared" si="6"/>
        <v>4.9154156937953717</v>
      </c>
      <c r="P7" s="70">
        <f t="shared" si="1"/>
        <v>3.5613784475917618</v>
      </c>
      <c r="Q7" s="104">
        <v>63.447094478850971</v>
      </c>
      <c r="R7" s="70">
        <v>65.667968086912239</v>
      </c>
      <c r="S7" s="70">
        <f t="shared" si="7"/>
        <v>4.9754922521681078</v>
      </c>
      <c r="T7" s="75">
        <f t="shared" si="8"/>
        <v>3.761195075101627</v>
      </c>
    </row>
    <row r="8" spans="1:20" x14ac:dyDescent="0.25">
      <c r="A8" s="66" t="s">
        <v>76</v>
      </c>
      <c r="B8" s="66">
        <v>7.6752940000000001</v>
      </c>
      <c r="C8" s="66">
        <v>8.32</v>
      </c>
      <c r="D8" s="70">
        <v>1.1673604248815708</v>
      </c>
      <c r="E8" s="70">
        <v>0.6041414253591848</v>
      </c>
      <c r="F8" s="70">
        <v>43.38595916653216</v>
      </c>
      <c r="G8" s="70">
        <v>22.453438246463829</v>
      </c>
      <c r="H8" s="70">
        <v>47.447368421052637</v>
      </c>
      <c r="I8" s="70">
        <v>0.7542983915696061</v>
      </c>
      <c r="J8" s="70">
        <f t="shared" si="2"/>
        <v>0.6944933504357188</v>
      </c>
      <c r="K8" s="70">
        <f t="shared" si="3"/>
        <v>2.2732511761240461</v>
      </c>
      <c r="L8" s="70">
        <f t="shared" si="4"/>
        <v>69.449335043571892</v>
      </c>
      <c r="M8" s="70">
        <f t="shared" si="5"/>
        <v>6.3711050256420103</v>
      </c>
      <c r="N8" s="70">
        <f t="shared" si="0"/>
        <v>4.9958039122810085</v>
      </c>
      <c r="O8" s="70">
        <f t="shared" si="6"/>
        <v>4.5359248833294048</v>
      </c>
      <c r="P8" s="70">
        <f t="shared" si="1"/>
        <v>3.5567756592846833</v>
      </c>
      <c r="Q8" s="104">
        <v>61.258808456117876</v>
      </c>
      <c r="R8" s="70">
        <v>63.543392149801939</v>
      </c>
      <c r="S8" s="70">
        <f t="shared" si="7"/>
        <v>4.5268013294693636</v>
      </c>
      <c r="T8" s="75">
        <f t="shared" si="8"/>
        <v>3.3778706030269414</v>
      </c>
    </row>
    <row r="9" spans="1:20" x14ac:dyDescent="0.25">
      <c r="A9" s="66" t="s">
        <v>77</v>
      </c>
      <c r="B9" s="66">
        <v>10.311707999999999</v>
      </c>
      <c r="C9" s="66">
        <v>13.89</v>
      </c>
      <c r="D9" s="70">
        <v>3.9884458836922971</v>
      </c>
      <c r="E9" s="70">
        <v>1.6610932775838376</v>
      </c>
      <c r="F9" s="70">
        <v>50.043655959962855</v>
      </c>
      <c r="G9" s="70">
        <v>20.841997841990977</v>
      </c>
      <c r="H9" s="70">
        <v>16.018181818181819</v>
      </c>
      <c r="I9" s="70">
        <v>1.4290578887627694</v>
      </c>
      <c r="J9" s="70">
        <f t="shared" si="2"/>
        <v>0.73854977819239909</v>
      </c>
      <c r="K9" s="70">
        <f t="shared" si="3"/>
        <v>2.8248198570506156</v>
      </c>
      <c r="L9" s="70">
        <f t="shared" si="4"/>
        <v>73.854977819239906</v>
      </c>
      <c r="M9" s="70">
        <f t="shared" si="5"/>
        <v>7.5647955275650922</v>
      </c>
      <c r="N9" s="70">
        <f t="shared" si="0"/>
        <v>4.7735830220276148</v>
      </c>
      <c r="O9" s="70">
        <f t="shared" si="6"/>
        <v>5.6110561450640537</v>
      </c>
      <c r="P9" s="70">
        <f t="shared" si="1"/>
        <v>3.5407225816112464</v>
      </c>
      <c r="Q9" s="104">
        <v>66.337342497136305</v>
      </c>
      <c r="R9" s="70">
        <v>68.473240391542006</v>
      </c>
      <c r="S9" s="70">
        <f t="shared" si="7"/>
        <v>5.6161764205545488</v>
      </c>
      <c r="T9" s="75">
        <f t="shared" si="8"/>
        <v>4.3238155242678937</v>
      </c>
    </row>
    <row r="10" spans="1:20" x14ac:dyDescent="0.25">
      <c r="A10" s="66" t="s">
        <v>78</v>
      </c>
      <c r="B10" s="66">
        <v>7.8192620000000002</v>
      </c>
      <c r="C10" s="66">
        <v>9.8000000000000007</v>
      </c>
      <c r="D10" s="70">
        <v>1.5190892406823289</v>
      </c>
      <c r="E10" s="70">
        <v>0.6799624553498812</v>
      </c>
      <c r="F10" s="70">
        <v>48.548471134665199</v>
      </c>
      <c r="G10" s="70">
        <v>21.730874495156176</v>
      </c>
      <c r="H10" s="70">
        <v>40.799999999999997</v>
      </c>
      <c r="I10" s="70">
        <v>0.79534313725490202</v>
      </c>
      <c r="J10" s="70">
        <f t="shared" si="2"/>
        <v>0.72439089794788469</v>
      </c>
      <c r="K10" s="70">
        <f t="shared" si="3"/>
        <v>2.6283271944005255</v>
      </c>
      <c r="L10" s="70">
        <f t="shared" si="4"/>
        <v>72.439089794788458</v>
      </c>
      <c r="M10" s="70">
        <f t="shared" si="5"/>
        <v>7.1644456253131867</v>
      </c>
      <c r="N10" s="70">
        <f t="shared" si="0"/>
        <v>4.8589363076240772</v>
      </c>
      <c r="O10" s="70">
        <f t="shared" si="6"/>
        <v>5.2433093228072636</v>
      </c>
      <c r="P10" s="70">
        <f t="shared" si="1"/>
        <v>3.5560191776287406</v>
      </c>
      <c r="Q10" s="104">
        <v>64.697284406492798</v>
      </c>
      <c r="R10" s="70">
        <v>66.880044531032567</v>
      </c>
      <c r="S10" s="70">
        <f t="shared" si="7"/>
        <v>5.245733343720377</v>
      </c>
      <c r="T10" s="75">
        <f t="shared" si="8"/>
        <v>3.9960355775728247</v>
      </c>
    </row>
    <row r="11" spans="1:20" x14ac:dyDescent="0.25">
      <c r="A11" s="66" t="s">
        <v>79</v>
      </c>
      <c r="B11" s="66">
        <v>10.320706000000001</v>
      </c>
      <c r="C11" s="66">
        <v>12.85</v>
      </c>
      <c r="D11" s="70">
        <v>3.0812577893604076</v>
      </c>
      <c r="E11" s="70">
        <v>1.3883413849543944</v>
      </c>
      <c r="F11" s="70">
        <v>43.902030547533272</v>
      </c>
      <c r="G11" s="70">
        <v>19.781209512276604</v>
      </c>
      <c r="H11" s="70">
        <v>18.189655172413797</v>
      </c>
      <c r="I11" s="70">
        <v>1.0786729857819906</v>
      </c>
      <c r="J11" s="70">
        <f t="shared" si="2"/>
        <v>0.72307115343114159</v>
      </c>
      <c r="K11" s="70">
        <f t="shared" si="3"/>
        <v>2.6110358757853342</v>
      </c>
      <c r="L11" s="70">
        <f t="shared" si="4"/>
        <v>72.307115343114162</v>
      </c>
      <c r="M11" s="70">
        <f t="shared" si="5"/>
        <v>7.1279536442225799</v>
      </c>
      <c r="N11" s="70">
        <f t="shared" si="0"/>
        <v>4.8662013114476546</v>
      </c>
      <c r="O11" s="70">
        <f t="shared" si="6"/>
        <v>5.2101475006214581</v>
      </c>
      <c r="P11" s="70">
        <f t="shared" si="1"/>
        <v>3.5569292206199647</v>
      </c>
      <c r="Q11" s="104">
        <v>64.608653378706862</v>
      </c>
      <c r="R11" s="70">
        <v>66.791337963981519</v>
      </c>
      <c r="S11" s="70">
        <f t="shared" si="7"/>
        <v>5.2262334534311439</v>
      </c>
      <c r="T11" s="75">
        <f t="shared" si="8"/>
        <v>3.9784326668301686</v>
      </c>
    </row>
    <row r="12" spans="1:20" x14ac:dyDescent="0.25">
      <c r="A12" s="66" t="s">
        <v>80</v>
      </c>
      <c r="B12" s="66">
        <v>10.356698</v>
      </c>
      <c r="C12" s="66">
        <v>13.35</v>
      </c>
      <c r="D12" s="70">
        <v>3.6314133316429706</v>
      </c>
      <c r="E12" s="70">
        <v>1.580438812289231</v>
      </c>
      <c r="F12" s="70">
        <v>42.667682004462172</v>
      </c>
      <c r="G12" s="70">
        <v>18.569536021325778</v>
      </c>
      <c r="H12" s="70">
        <v>15.000000000000002</v>
      </c>
      <c r="I12" s="70">
        <v>1.3129032258064517</v>
      </c>
      <c r="J12" s="70">
        <f t="shared" si="2"/>
        <v>0.72996368015223823</v>
      </c>
      <c r="K12" s="70">
        <f t="shared" si="3"/>
        <v>2.7032055560665662</v>
      </c>
      <c r="L12" s="70">
        <f t="shared" si="4"/>
        <v>72.996368015223808</v>
      </c>
      <c r="M12" s="70">
        <f t="shared" si="5"/>
        <v>7.3200776250689916</v>
      </c>
      <c r="N12" s="70">
        <f t="shared" si="0"/>
        <v>4.8269706595121527</v>
      </c>
      <c r="O12" s="70">
        <f t="shared" si="6"/>
        <v>5.3854114942770686</v>
      </c>
      <c r="P12" s="70">
        <f t="shared" si="1"/>
        <v>3.5512223508736218</v>
      </c>
      <c r="Q12" s="104">
        <v>65.533510766997338</v>
      </c>
      <c r="R12" s="70">
        <v>67.695939565627953</v>
      </c>
      <c r="S12" s="70">
        <f t="shared" si="7"/>
        <v>5.4323188047457975</v>
      </c>
      <c r="T12" s="75">
        <f t="shared" si="8"/>
        <v>4.1611095021707412</v>
      </c>
    </row>
    <row r="13" spans="1:20" x14ac:dyDescent="0.25">
      <c r="A13" s="66" t="s">
        <v>81</v>
      </c>
      <c r="B13" s="66">
        <v>10.770606000000001</v>
      </c>
      <c r="C13" s="66">
        <v>13.17</v>
      </c>
      <c r="D13" s="70">
        <v>3.4347205395803915</v>
      </c>
      <c r="E13" s="70">
        <v>1.5758240617557977</v>
      </c>
      <c r="F13" s="70">
        <v>36.246222496799355</v>
      </c>
      <c r="G13" s="70">
        <v>16.629495442208121</v>
      </c>
      <c r="H13" s="70">
        <v>13.472222222222221</v>
      </c>
      <c r="I13" s="70">
        <v>1.1206185567010309</v>
      </c>
      <c r="J13" s="70">
        <f t="shared" si="2"/>
        <v>0.71943810669611696</v>
      </c>
      <c r="K13" s="70">
        <f t="shared" si="3"/>
        <v>2.5642759186718096</v>
      </c>
      <c r="L13" s="70">
        <f t="shared" si="4"/>
        <v>71.943810669611693</v>
      </c>
      <c r="M13" s="70">
        <f t="shared" si="5"/>
        <v>7.0282127588566716</v>
      </c>
      <c r="N13" s="70">
        <f t="shared" si="0"/>
        <v>4.8856031840049718</v>
      </c>
      <c r="O13" s="70">
        <f t="shared" si="6"/>
        <v>5.1198147147542805</v>
      </c>
      <c r="P13" s="70">
        <f t="shared" si="1"/>
        <v>3.5589962811524392</v>
      </c>
      <c r="Q13" s="104">
        <v>64.52956989247312</v>
      </c>
      <c r="R13" s="70">
        <v>66.718837787944466</v>
      </c>
      <c r="S13" s="70">
        <f t="shared" si="7"/>
        <v>5.2088784831109525</v>
      </c>
      <c r="T13" s="75">
        <f t="shared" si="8"/>
        <v>3.9640952414047606</v>
      </c>
    </row>
    <row r="14" spans="1:20" x14ac:dyDescent="0.25">
      <c r="A14" s="66" t="s">
        <v>82</v>
      </c>
      <c r="B14" s="66">
        <v>7.1174179999999998</v>
      </c>
      <c r="C14" s="66">
        <v>8.7799999999999994</v>
      </c>
      <c r="D14" s="70">
        <v>1.3057726527113378</v>
      </c>
      <c r="E14" s="70">
        <v>0.59382363800122018</v>
      </c>
      <c r="F14" s="70">
        <v>40.460899531310908</v>
      </c>
      <c r="G14" s="70">
        <v>18.400322986237626</v>
      </c>
      <c r="H14" s="70">
        <v>39.558139534883722</v>
      </c>
      <c r="I14" s="70">
        <v>0.79776601998824215</v>
      </c>
      <c r="J14" s="70">
        <f t="shared" si="2"/>
        <v>0.72121306197808233</v>
      </c>
      <c r="K14" s="70">
        <f t="shared" si="3"/>
        <v>2.5869686259166924</v>
      </c>
      <c r="L14" s="70">
        <f t="shared" si="4"/>
        <v>72.121306197808238</v>
      </c>
      <c r="M14" s="70">
        <f t="shared" si="5"/>
        <v>7.0768111322978786</v>
      </c>
      <c r="N14" s="70">
        <f t="shared" si="0"/>
        <v>4.8762334277078256</v>
      </c>
      <c r="O14" s="70">
        <f t="shared" si="6"/>
        <v>5.1637730342685702</v>
      </c>
      <c r="P14" s="70">
        <f t="shared" si="1"/>
        <v>3.5580662267329259</v>
      </c>
      <c r="Q14" s="104">
        <v>64.518597887647331</v>
      </c>
      <c r="R14" s="70">
        <v>66.704842931937165</v>
      </c>
      <c r="S14" s="70">
        <f t="shared" si="7"/>
        <v>5.2064739620691105</v>
      </c>
      <c r="T14" s="75">
        <f t="shared" si="8"/>
        <v>3.9613327727653687</v>
      </c>
    </row>
    <row r="15" spans="1:20" x14ac:dyDescent="0.25">
      <c r="A15" s="66" t="s">
        <v>83</v>
      </c>
      <c r="B15" s="66">
        <v>10.905576</v>
      </c>
      <c r="C15" s="66">
        <v>15.29</v>
      </c>
      <c r="D15" s="70">
        <v>5.3131670732974792</v>
      </c>
      <c r="E15" s="70">
        <v>2.125967161450542</v>
      </c>
      <c r="F15" s="70">
        <v>55.087652960967027</v>
      </c>
      <c r="G15" s="70">
        <v>22.042322325037581</v>
      </c>
      <c r="H15" s="70">
        <v>13.236363636363636</v>
      </c>
      <c r="I15" s="70">
        <v>1.8475274725274724</v>
      </c>
      <c r="J15" s="70">
        <f t="shared" si="2"/>
        <v>0.74620626547910263</v>
      </c>
      <c r="K15" s="70">
        <f t="shared" si="3"/>
        <v>2.940207593728676</v>
      </c>
      <c r="L15" s="70">
        <f t="shared" si="4"/>
        <v>74.620626547910248</v>
      </c>
      <c r="M15" s="70">
        <f t="shared" si="5"/>
        <v>7.7881484816159867</v>
      </c>
      <c r="N15" s="70">
        <f t="shared" si="0"/>
        <v>4.7216552250304478</v>
      </c>
      <c r="O15" s="70">
        <f t="shared" si="6"/>
        <v>5.8193458290695403</v>
      </c>
      <c r="P15" s="70">
        <f t="shared" si="1"/>
        <v>3.5280458128071093</v>
      </c>
      <c r="Q15" s="104">
        <v>67.183440152433747</v>
      </c>
      <c r="R15" s="70">
        <v>69.2919566696321</v>
      </c>
      <c r="S15" s="70">
        <f t="shared" si="7"/>
        <v>5.8145575904381248</v>
      </c>
      <c r="T15" s="75">
        <f t="shared" si="8"/>
        <v>4.5011262383314605</v>
      </c>
    </row>
    <row r="16" spans="1:20" x14ac:dyDescent="0.25">
      <c r="A16" s="66" t="s">
        <v>84</v>
      </c>
      <c r="B16" s="66">
        <v>10.473672000000001</v>
      </c>
      <c r="C16" s="66">
        <v>14.7</v>
      </c>
      <c r="D16" s="70">
        <v>5.9690697611401937</v>
      </c>
      <c r="E16" s="70">
        <v>2.3858890560366079</v>
      </c>
      <c r="F16" s="70">
        <v>47.752594558687079</v>
      </c>
      <c r="G16" s="70">
        <v>19.087127025495136</v>
      </c>
      <c r="H16" s="70">
        <v>10.213114754098362</v>
      </c>
      <c r="I16" s="70">
        <v>2.263242375601926</v>
      </c>
      <c r="J16" s="70">
        <f t="shared" si="2"/>
        <v>0.74640658224541701</v>
      </c>
      <c r="K16" s="70">
        <f t="shared" si="3"/>
        <v>2.9433200153789385</v>
      </c>
      <c r="L16" s="70">
        <f t="shared" si="4"/>
        <v>74.640658224541696</v>
      </c>
      <c r="M16" s="70">
        <f t="shared" si="5"/>
        <v>7.7940578146882444</v>
      </c>
      <c r="N16" s="70">
        <f t="shared" si="0"/>
        <v>4.7202411112292006</v>
      </c>
      <c r="O16" s="70">
        <f t="shared" si="6"/>
        <v>5.8248869777688954</v>
      </c>
      <c r="P16" s="70">
        <f t="shared" si="1"/>
        <v>3.5276709044822656</v>
      </c>
      <c r="Q16" s="104">
        <v>67.375977438789903</v>
      </c>
      <c r="R16" s="70">
        <v>69.471887446335273</v>
      </c>
      <c r="S16" s="70">
        <f t="shared" si="7"/>
        <v>5.8604064822125919</v>
      </c>
      <c r="T16" s="75">
        <f t="shared" si="8"/>
        <v>4.5409306968415377</v>
      </c>
    </row>
    <row r="17" spans="1:34" x14ac:dyDescent="0.25">
      <c r="A17" s="66" t="s">
        <v>85</v>
      </c>
      <c r="B17" s="66">
        <v>9.3489220000000017</v>
      </c>
      <c r="C17" s="66">
        <v>11.29</v>
      </c>
      <c r="D17" s="70">
        <v>2.5592170108769747</v>
      </c>
      <c r="E17" s="70">
        <v>1.1888762858156035</v>
      </c>
      <c r="F17" s="70">
        <v>40.676232958097955</v>
      </c>
      <c r="G17" s="70">
        <v>18.89601724068816</v>
      </c>
      <c r="H17" s="70">
        <v>20.290909090909089</v>
      </c>
      <c r="I17" s="70">
        <v>1.1272401433691757</v>
      </c>
      <c r="J17" s="70">
        <f t="shared" si="2"/>
        <v>0.71691533376048255</v>
      </c>
      <c r="K17" s="70">
        <f t="shared" si="3"/>
        <v>2.5325120688589391</v>
      </c>
      <c r="L17" s="70">
        <f t="shared" si="4"/>
        <v>71.691533376048255</v>
      </c>
      <c r="M17" s="70">
        <f t="shared" si="5"/>
        <v>6.9595673098994641</v>
      </c>
      <c r="N17" s="70">
        <f t="shared" si="0"/>
        <v>4.8985636974224942</v>
      </c>
      <c r="O17" s="70">
        <f t="shared" si="6"/>
        <v>5.0579047908310564</v>
      </c>
      <c r="P17" s="70">
        <f t="shared" si="1"/>
        <v>3.5600587924685563</v>
      </c>
      <c r="Q17" s="104">
        <v>64.032209961228745</v>
      </c>
      <c r="R17" s="70">
        <v>66.233707252827116</v>
      </c>
      <c r="S17" s="70">
        <f t="shared" si="7"/>
        <v>5.1006859790567853</v>
      </c>
      <c r="T17" s="75">
        <f t="shared" si="8"/>
        <v>3.8692926846115792</v>
      </c>
    </row>
    <row r="18" spans="1:34" x14ac:dyDescent="0.25">
      <c r="A18" s="66" t="s">
        <v>86</v>
      </c>
      <c r="B18" s="66">
        <v>10.428682</v>
      </c>
      <c r="C18" s="66">
        <v>13.61</v>
      </c>
      <c r="D18" s="70">
        <v>4.1481781474305821</v>
      </c>
      <c r="E18" s="70">
        <v>1.7831614024496178</v>
      </c>
      <c r="F18" s="70">
        <v>46.49857087563641</v>
      </c>
      <c r="G18" s="70">
        <v>19.988162009353601</v>
      </c>
      <c r="H18" s="70">
        <v>14.31034482758621</v>
      </c>
      <c r="I18" s="70">
        <v>1.6265060240963853</v>
      </c>
      <c r="J18" s="70">
        <f t="shared" si="2"/>
        <v>0.73239349786296926</v>
      </c>
      <c r="K18" s="70">
        <f t="shared" si="3"/>
        <v>2.7368299798931619</v>
      </c>
      <c r="L18" s="70">
        <f t="shared" si="4"/>
        <v>73.239349786296927</v>
      </c>
      <c r="M18" s="70">
        <f t="shared" si="5"/>
        <v>7.3887207876763057</v>
      </c>
      <c r="N18" s="70">
        <f t="shared" si="0"/>
        <v>4.8123752064104242</v>
      </c>
      <c r="O18" s="70">
        <f t="shared" si="6"/>
        <v>5.4484332552229757</v>
      </c>
      <c r="P18" s="70">
        <f t="shared" si="1"/>
        <v>3.5486393199414752</v>
      </c>
      <c r="Q18" s="104">
        <v>65.71632216678546</v>
      </c>
      <c r="R18" s="70">
        <v>67.868065967016491</v>
      </c>
      <c r="S18" s="70">
        <f t="shared" si="7"/>
        <v>5.4737420667905035</v>
      </c>
      <c r="T18" s="75">
        <f t="shared" si="8"/>
        <v>4.1966754225526559</v>
      </c>
    </row>
    <row r="19" spans="1:34" x14ac:dyDescent="0.25">
      <c r="A19" s="66" t="s">
        <v>87</v>
      </c>
      <c r="B19" s="66">
        <v>12.093312000000001</v>
      </c>
      <c r="C19" s="66">
        <v>13.3</v>
      </c>
      <c r="D19" s="70">
        <v>2.8732413794728351</v>
      </c>
      <c r="E19" s="70">
        <v>1.4656412685783617</v>
      </c>
      <c r="F19" s="70">
        <v>36.604006014231693</v>
      </c>
      <c r="G19" s="70">
        <v>18.671714180724905</v>
      </c>
      <c r="H19" s="70">
        <v>16.263888888888889</v>
      </c>
      <c r="I19" s="70">
        <v>0.83176771989752341</v>
      </c>
      <c r="J19" s="70">
        <f t="shared" si="2"/>
        <v>0.69755182041584851</v>
      </c>
      <c r="K19" s="70">
        <f t="shared" si="3"/>
        <v>2.3063515256562006</v>
      </c>
      <c r="L19" s="70">
        <f t="shared" si="4"/>
        <v>69.755182041584845</v>
      </c>
      <c r="M19" s="70">
        <f t="shared" si="5"/>
        <v>6.449120008179916</v>
      </c>
      <c r="N19" s="70">
        <f t="shared" si="0"/>
        <v>4.9844013027599958</v>
      </c>
      <c r="O19" s="70">
        <f t="shared" si="6"/>
        <v>4.6042233354762336</v>
      </c>
      <c r="P19" s="70">
        <f t="shared" si="1"/>
        <v>3.5585160087635743</v>
      </c>
      <c r="Q19" s="104">
        <v>61.838565022421534</v>
      </c>
      <c r="R19" s="70">
        <v>64.104918996363097</v>
      </c>
      <c r="S19" s="70">
        <f t="shared" si="7"/>
        <v>4.6427254766320081</v>
      </c>
      <c r="T19" s="75">
        <f t="shared" si="8"/>
        <v>3.4758090962016732</v>
      </c>
    </row>
    <row r="20" spans="1:34" ht="15.75" thickBot="1" x14ac:dyDescent="0.3">
      <c r="A20" s="66" t="s">
        <v>88</v>
      </c>
      <c r="B20" s="66">
        <v>8.431125999999999</v>
      </c>
      <c r="C20" s="66">
        <v>8.77</v>
      </c>
      <c r="D20" s="70">
        <v>1.2513195339249472</v>
      </c>
      <c r="E20" s="70">
        <v>0.67486385237827906</v>
      </c>
      <c r="F20" s="70">
        <v>46.968570529620926</v>
      </c>
      <c r="G20" s="70">
        <v>25.331172085915878</v>
      </c>
      <c r="H20" s="70">
        <v>47.918918918918919</v>
      </c>
      <c r="I20" s="70">
        <v>0.64805414551607443</v>
      </c>
      <c r="J20" s="70">
        <f t="shared" si="2"/>
        <v>0.68567189379447868</v>
      </c>
      <c r="K20" s="70">
        <f t="shared" si="3"/>
        <v>2.1813890653041272</v>
      </c>
      <c r="L20" s="70">
        <f t="shared" si="4"/>
        <v>68.567189379447868</v>
      </c>
      <c r="M20" s="70">
        <f t="shared" si="5"/>
        <v>6.1499837607913141</v>
      </c>
      <c r="N20" s="70">
        <f t="shared" si="0"/>
        <v>5.0254954147557118</v>
      </c>
      <c r="O20" s="70">
        <f t="shared" si="6"/>
        <v>4.3438491679963587</v>
      </c>
      <c r="P20" s="70">
        <f t="shared" si="1"/>
        <v>3.5496019055093027</v>
      </c>
      <c r="Q20" s="105">
        <v>60.1528384279476</v>
      </c>
      <c r="R20" s="78">
        <v>62.457758699424602</v>
      </c>
      <c r="S20" s="78">
        <f t="shared" si="7"/>
        <v>4.3114119007484302</v>
      </c>
      <c r="T20" s="79">
        <f t="shared" si="8"/>
        <v>3.195101460807265</v>
      </c>
    </row>
    <row r="21" spans="1:34" ht="15.75" thickBot="1" x14ac:dyDescent="0.3"/>
    <row r="22" spans="1:34" ht="18" x14ac:dyDescent="0.35">
      <c r="Z22" s="18" t="s">
        <v>103</v>
      </c>
      <c r="AA22" s="19">
        <v>1</v>
      </c>
      <c r="AB22" s="6" t="s">
        <v>89</v>
      </c>
      <c r="AC22" s="6"/>
      <c r="AD22" s="6" t="s">
        <v>90</v>
      </c>
      <c r="AE22" s="11">
        <f>100*(AA23*AE23)/(AA23*AE23+AA22)</f>
        <v>45.963704901308112</v>
      </c>
      <c r="AF22" s="11">
        <f>100*(AA23*AF23)/(AA23*AF23+AA22)</f>
        <v>37.219370586521755</v>
      </c>
      <c r="AG22" s="7"/>
    </row>
    <row r="23" spans="1:34" x14ac:dyDescent="0.25">
      <c r="Z23" s="8" t="s">
        <v>58</v>
      </c>
      <c r="AA23">
        <f>2.5776</f>
        <v>2.5775999999999999</v>
      </c>
      <c r="AB23">
        <f>100*(AA23/(AA23+AA22))</f>
        <v>72.048300536672627</v>
      </c>
      <c r="AD23" t="s">
        <v>57</v>
      </c>
      <c r="AE23">
        <f>0.33</f>
        <v>0.33</v>
      </c>
      <c r="AF23">
        <v>0.23</v>
      </c>
      <c r="AG23" s="12"/>
    </row>
    <row r="24" spans="1:34" ht="18" x14ac:dyDescent="0.35">
      <c r="Z24" s="8" t="s">
        <v>59</v>
      </c>
      <c r="AA24">
        <f>-0.4252</f>
        <v>-0.42520000000000002</v>
      </c>
      <c r="AD24" s="4" t="s">
        <v>91</v>
      </c>
      <c r="AE24" s="5">
        <f>10^(((LOG(AB23)-LOG(252.7833-0.7825*AB23))/0.4602)+1.795)</f>
        <v>7.0567919318972088</v>
      </c>
      <c r="AF24" s="5">
        <f>10^((LOG(AB23)-LOG(36268.9182-188.1602*AB23))/0.4602+6.1409)</f>
        <v>5.1456523257476894</v>
      </c>
      <c r="AG24" s="12"/>
    </row>
    <row r="25" spans="1:34" ht="18.75" x14ac:dyDescent="0.35">
      <c r="Z25" s="8" t="s">
        <v>60</v>
      </c>
      <c r="AA25">
        <v>0.97789999999999999</v>
      </c>
      <c r="AD25" s="4" t="s">
        <v>92</v>
      </c>
      <c r="AE25" s="5">
        <f>((AE24/40.3044)/(AE22/100)-(AE24/40.3044))*AA22*71.844</f>
        <v>14.788219681163463</v>
      </c>
      <c r="AF25" s="5">
        <f>((AF24/40.3044)/(AF22/100)-(AF24/40.3044))*AA22*71.844</f>
        <v>15.47159626408695</v>
      </c>
      <c r="AG25" s="12"/>
    </row>
    <row r="26" spans="1:34" ht="15.75" thickBot="1" x14ac:dyDescent="0.3">
      <c r="Z26" s="9"/>
      <c r="AA26" s="10"/>
      <c r="AB26" s="10"/>
      <c r="AC26" s="10"/>
      <c r="AD26" s="10" t="s">
        <v>61</v>
      </c>
      <c r="AE26" s="13">
        <f>(1-$AA25)*AE24</f>
        <v>0.15595510169492838</v>
      </c>
      <c r="AF26" s="13">
        <f>(1-$AA25)*AF24</f>
        <v>0.11371891639902398</v>
      </c>
      <c r="AG26" s="14"/>
    </row>
    <row r="27" spans="1:34" x14ac:dyDescent="0.25">
      <c r="AE27" s="109"/>
      <c r="AF27" s="109"/>
      <c r="AG27" s="15"/>
      <c r="AH27" s="3"/>
    </row>
    <row r="28" spans="1:34" ht="15.75" thickBot="1" x14ac:dyDescent="0.3">
      <c r="AH28" s="15"/>
    </row>
    <row r="29" spans="1:34" ht="18" x14ac:dyDescent="0.35">
      <c r="Z29" s="18" t="s">
        <v>103</v>
      </c>
      <c r="AA29" s="19">
        <v>0.85</v>
      </c>
      <c r="AB29" s="6" t="s">
        <v>89</v>
      </c>
      <c r="AC29" s="6"/>
      <c r="AD29" s="6" t="s">
        <v>90</v>
      </c>
      <c r="AE29" s="11">
        <f>100*(AA30*AE30)/(AA30*AE30+AA29)</f>
        <v>50.017875959656784</v>
      </c>
      <c r="AF29" s="11">
        <f>100*(AA30*AF30)/(AA30*AF30+AA29)</f>
        <v>41.088735611790014</v>
      </c>
      <c r="AG29" s="7"/>
    </row>
    <row r="30" spans="1:34" x14ac:dyDescent="0.25">
      <c r="Z30" s="8" t="s">
        <v>58</v>
      </c>
      <c r="AA30">
        <f>2.5776</f>
        <v>2.5775999999999999</v>
      </c>
      <c r="AB30">
        <f>100*(AA30/(AA30+AA29))</f>
        <v>75.201307036993811</v>
      </c>
      <c r="AD30" t="s">
        <v>57</v>
      </c>
      <c r="AE30">
        <f>0.33</f>
        <v>0.33</v>
      </c>
      <c r="AF30">
        <v>0.23</v>
      </c>
      <c r="AG30" s="12"/>
    </row>
    <row r="31" spans="1:34" ht="18" x14ac:dyDescent="0.35">
      <c r="Z31" s="8" t="s">
        <v>59</v>
      </c>
      <c r="AA31">
        <f>-0.4252</f>
        <v>-0.42520000000000002</v>
      </c>
      <c r="AD31" s="4" t="s">
        <v>91</v>
      </c>
      <c r="AE31" s="5">
        <f>10^(((LOG(AB30)-LOG(252.7833-0.7825*AB30))/0.4602)+1.795)</f>
        <v>7.9608229445310226</v>
      </c>
      <c r="AF31" s="5">
        <f>10^((LOG(AB30)-LOG(36268.9182-188.1602*AB30))/0.4602+6.1409)</f>
        <v>5.9819062485362728</v>
      </c>
      <c r="AG31" s="12"/>
    </row>
    <row r="32" spans="1:34" ht="18.75" x14ac:dyDescent="0.35">
      <c r="Z32" s="8" t="s">
        <v>60</v>
      </c>
      <c r="AA32">
        <v>0.97789999999999999</v>
      </c>
      <c r="AD32" s="4" t="s">
        <v>92</v>
      </c>
      <c r="AE32" s="5">
        <f>((AE31/40.3044)/(AE29/100)-(AE31/40.3044))*AA29*71.844</f>
        <v>12.053256461400334</v>
      </c>
      <c r="AF32" s="5">
        <f>((AF31/40.3044)/(AF29/100)-(AF31/40.3044))*AA29*71.844</f>
        <v>12.994875962674236</v>
      </c>
      <c r="AG32" s="12"/>
    </row>
    <row r="33" spans="26:34" ht="15.75" thickBot="1" x14ac:dyDescent="0.3">
      <c r="Z33" s="9"/>
      <c r="AA33" s="10"/>
      <c r="AB33" s="10"/>
      <c r="AC33" s="10"/>
      <c r="AD33" s="10" t="s">
        <v>61</v>
      </c>
      <c r="AE33" s="13">
        <f>(1-$AA32)*AE31</f>
        <v>0.17593418707413566</v>
      </c>
      <c r="AF33" s="13">
        <f>(1-$AA32)*AF31</f>
        <v>0.13220012809265169</v>
      </c>
      <c r="AG33" s="14"/>
    </row>
    <row r="34" spans="26:34" x14ac:dyDescent="0.25">
      <c r="AE34" s="110"/>
      <c r="AF34" s="110"/>
      <c r="AG34" s="15"/>
    </row>
    <row r="35" spans="26:34" x14ac:dyDescent="0.25">
      <c r="AH35" s="3"/>
    </row>
    <row r="36" spans="26:34" x14ac:dyDescent="0.25">
      <c r="AH36" s="15"/>
    </row>
    <row r="48" spans="26:34" x14ac:dyDescent="0.25">
      <c r="Z48" s="16"/>
    </row>
    <row r="50" spans="25:25" x14ac:dyDescent="0.25">
      <c r="Y50" s="17"/>
    </row>
  </sheetData>
  <mergeCells count="2">
    <mergeCell ref="AE27:AF27"/>
    <mergeCell ref="AE34:AF34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98970-4BC8-4291-81F5-1BE4BDA70BA3}">
  <dimension ref="A1:K12"/>
  <sheetViews>
    <sheetView workbookViewId="0">
      <selection activeCell="G2" sqref="G2"/>
    </sheetView>
  </sheetViews>
  <sheetFormatPr defaultRowHeight="15" x14ac:dyDescent="0.25"/>
  <cols>
    <col min="1" max="1" width="16.85546875" bestFit="1" customWidth="1"/>
    <col min="2" max="2" width="16.42578125" bestFit="1" customWidth="1"/>
    <col min="5" max="6" width="13.7109375" bestFit="1" customWidth="1"/>
    <col min="7" max="7" width="5" bestFit="1" customWidth="1"/>
    <col min="8" max="8" width="13.7109375" bestFit="1" customWidth="1"/>
    <col min="9" max="9" width="8.42578125" bestFit="1" customWidth="1"/>
    <col min="10" max="11" width="19.28515625" bestFit="1" customWidth="1"/>
  </cols>
  <sheetData>
    <row r="1" spans="1:11" x14ac:dyDescent="0.25">
      <c r="A1" s="66" t="s">
        <v>0</v>
      </c>
      <c r="B1" s="66" t="s">
        <v>121</v>
      </c>
      <c r="C1" s="2" t="s">
        <v>62</v>
      </c>
      <c r="D1" s="2" t="s">
        <v>5</v>
      </c>
      <c r="E1" s="66" t="s">
        <v>10</v>
      </c>
      <c r="F1" s="66" t="s">
        <v>9</v>
      </c>
      <c r="G1" s="66" t="s">
        <v>90</v>
      </c>
      <c r="H1" s="66" t="s">
        <v>14</v>
      </c>
      <c r="I1" s="66" t="s">
        <v>15</v>
      </c>
      <c r="J1" s="66" t="s">
        <v>16</v>
      </c>
      <c r="K1" s="66" t="s">
        <v>17</v>
      </c>
    </row>
    <row r="2" spans="1:11" x14ac:dyDescent="0.25">
      <c r="A2" s="66" t="s">
        <v>195</v>
      </c>
      <c r="B2" s="66" t="s">
        <v>204</v>
      </c>
      <c r="C2" s="67">
        <v>10.521219995180369</v>
      </c>
      <c r="D2" s="67">
        <v>5.4378005720691931</v>
      </c>
      <c r="E2" s="66">
        <v>0.87376681194703809</v>
      </c>
      <c r="F2" s="66">
        <v>0.80499051512897946</v>
      </c>
      <c r="G2" s="68">
        <f t="shared" ref="G2:G10" si="0">100*(D2/40.3044)/((D2/40.3044)+(0.85*C2/71.844))</f>
        <v>52.012309706565638</v>
      </c>
      <c r="H2" s="66">
        <f t="shared" ref="H2:H10" si="1">(D2/40.3044)/(0.85*C2/71.844)</f>
        <v>1.083867745843186</v>
      </c>
      <c r="I2" s="69">
        <f>100*(H2/(1+H2))</f>
        <v>52.012309706565638</v>
      </c>
      <c r="J2" s="70">
        <f>10^(((LOG(I2)-LOG(252.7833-0.7825*I2))/0.4602)+1.795)</f>
        <v>2.9418315867413689</v>
      </c>
      <c r="K2" s="70">
        <f t="shared" ref="K2:K10" si="2">10^((LOG(I2)-LOG(36268.9182-188.1602*I2))/0.4602+6.1409)</f>
        <v>1.8155273309386326</v>
      </c>
    </row>
    <row r="3" spans="1:11" x14ac:dyDescent="0.25">
      <c r="A3" s="66" t="s">
        <v>196</v>
      </c>
      <c r="B3" s="66" t="s">
        <v>204</v>
      </c>
      <c r="C3" s="67">
        <v>11.648262426946523</v>
      </c>
      <c r="D3" s="67">
        <v>5.8861727308908867</v>
      </c>
      <c r="E3" s="66">
        <v>1.0002228766467611</v>
      </c>
      <c r="F3" s="66">
        <v>0.90096243380020014</v>
      </c>
      <c r="G3" s="68">
        <f t="shared" si="0"/>
        <v>51.449702600350655</v>
      </c>
      <c r="H3" s="66">
        <f t="shared" si="1"/>
        <v>1.0597196177159203</v>
      </c>
      <c r="I3" s="69">
        <f t="shared" ref="I3:I10" si="3">100*(H3/(1+H3))</f>
        <v>51.449702600350648</v>
      </c>
      <c r="J3" s="70">
        <f t="shared" ref="J3:J10" si="4">10^(((LOG(I3)-LOG(252.7833-0.7825*I3))/0.4602)+1.795)</f>
        <v>2.8602064628824602</v>
      </c>
      <c r="K3" s="70">
        <f t="shared" si="2"/>
        <v>1.7578200447946957</v>
      </c>
    </row>
    <row r="4" spans="1:11" x14ac:dyDescent="0.25">
      <c r="A4" s="66" t="s">
        <v>197</v>
      </c>
      <c r="B4" s="66" t="s">
        <v>204</v>
      </c>
      <c r="C4" s="67">
        <v>10.567834817200229</v>
      </c>
      <c r="D4" s="67">
        <v>4.9041274652185818</v>
      </c>
      <c r="E4" s="66">
        <v>0.8829700559390451</v>
      </c>
      <c r="F4" s="66">
        <v>0.73039829844081083</v>
      </c>
      <c r="G4" s="68">
        <f t="shared" si="0"/>
        <v>49.320482861011683</v>
      </c>
      <c r="H4" s="66">
        <f t="shared" si="1"/>
        <v>0.97318375638328425</v>
      </c>
      <c r="I4" s="69">
        <f t="shared" si="3"/>
        <v>49.320482861011691</v>
      </c>
      <c r="J4" s="70">
        <f t="shared" si="4"/>
        <v>2.5653218493271952</v>
      </c>
      <c r="K4" s="70">
        <f t="shared" si="2"/>
        <v>1.5522958822661452</v>
      </c>
    </row>
    <row r="5" spans="1:11" x14ac:dyDescent="0.25">
      <c r="A5" s="66" t="s">
        <v>198</v>
      </c>
      <c r="B5" s="66" t="s">
        <v>204</v>
      </c>
      <c r="C5" s="67">
        <v>9.6738410945042919</v>
      </c>
      <c r="D5" s="67">
        <v>5.6601387102894369</v>
      </c>
      <c r="E5" s="66">
        <v>0.84634389021133416</v>
      </c>
      <c r="F5" s="66">
        <v>0.88269980845376805</v>
      </c>
      <c r="G5" s="68">
        <f t="shared" si="0"/>
        <v>55.096695134803028</v>
      </c>
      <c r="H5" s="66">
        <f t="shared" si="1"/>
        <v>1.2270075732778993</v>
      </c>
      <c r="I5" s="69">
        <f t="shared" si="3"/>
        <v>55.096695134803028</v>
      </c>
      <c r="J5" s="70">
        <f t="shared" si="4"/>
        <v>3.4181038275665832</v>
      </c>
      <c r="K5" s="70">
        <f t="shared" si="2"/>
        <v>2.159138519945218</v>
      </c>
    </row>
    <row r="6" spans="1:11" x14ac:dyDescent="0.25">
      <c r="A6" s="66" t="s">
        <v>199</v>
      </c>
      <c r="B6" s="66" t="s">
        <v>204</v>
      </c>
      <c r="C6" s="67">
        <v>9.2848266058517339</v>
      </c>
      <c r="D6" s="67">
        <v>4.0702371577881635</v>
      </c>
      <c r="E6" s="66">
        <v>0.69459645698354233</v>
      </c>
      <c r="F6" s="66">
        <v>0.54277086145323572</v>
      </c>
      <c r="G6" s="68">
        <f t="shared" si="0"/>
        <v>47.898117802627759</v>
      </c>
      <c r="H6" s="66">
        <f t="shared" si="1"/>
        <v>0.91931645811144047</v>
      </c>
      <c r="I6" s="69">
        <f t="shared" si="3"/>
        <v>47.898117802627759</v>
      </c>
      <c r="J6" s="70">
        <f t="shared" si="4"/>
        <v>2.3803168369015926</v>
      </c>
      <c r="K6" s="70">
        <f t="shared" si="2"/>
        <v>1.4257599132094152</v>
      </c>
    </row>
    <row r="7" spans="1:11" x14ac:dyDescent="0.25">
      <c r="A7" s="66" t="s">
        <v>200</v>
      </c>
      <c r="B7" s="66" t="s">
        <v>204</v>
      </c>
      <c r="C7" s="67">
        <v>9.9800780666766222</v>
      </c>
      <c r="D7" s="67">
        <v>9.3317407162510921</v>
      </c>
      <c r="E7" s="66">
        <v>0.9844795541480641</v>
      </c>
      <c r="F7" s="66">
        <v>1.6408673361177333</v>
      </c>
      <c r="G7" s="68">
        <f t="shared" si="0"/>
        <v>66.226093595804983</v>
      </c>
      <c r="H7" s="66">
        <f t="shared" si="1"/>
        <v>1.9608656695862432</v>
      </c>
      <c r="I7" s="69">
        <f t="shared" si="3"/>
        <v>66.226093595804969</v>
      </c>
      <c r="J7" s="70">
        <f t="shared" si="4"/>
        <v>5.59046476769627</v>
      </c>
      <c r="K7" s="70">
        <f t="shared" si="2"/>
        <v>3.867820474197186</v>
      </c>
    </row>
    <row r="8" spans="1:11" x14ac:dyDescent="0.25">
      <c r="A8" s="66" t="s">
        <v>201</v>
      </c>
      <c r="B8" s="66" t="s">
        <v>204</v>
      </c>
      <c r="C8" s="67">
        <v>10.063232282503742</v>
      </c>
      <c r="D8" s="67">
        <v>13.974512695903146</v>
      </c>
      <c r="E8" s="66">
        <v>1.2006607391642143</v>
      </c>
      <c r="F8" s="66">
        <v>2.9720596997261182</v>
      </c>
      <c r="G8" s="68">
        <f t="shared" si="0"/>
        <v>74.438807378790585</v>
      </c>
      <c r="H8" s="66">
        <f t="shared" si="1"/>
        <v>2.9121805262335441</v>
      </c>
      <c r="I8" s="69">
        <f>100*(H8/(1+H8))</f>
        <v>74.4388073787906</v>
      </c>
      <c r="J8" s="70">
        <f>10^(((LOG(I8)-LOG(252.7833-0.7825*I8))/0.4602)+1.795)</f>
        <v>7.7346659295490321</v>
      </c>
      <c r="K8" s="70">
        <f>10^((LOG(I8)-LOG(36268.9182-188.1602*I8))/0.4602+6.1409)</f>
        <v>5.7692666693226835</v>
      </c>
    </row>
    <row r="9" spans="1:11" x14ac:dyDescent="0.25">
      <c r="A9" s="66" t="s">
        <v>202</v>
      </c>
      <c r="B9" s="66" t="s">
        <v>204</v>
      </c>
      <c r="C9" s="67">
        <v>7.7521517806230911</v>
      </c>
      <c r="D9" s="67">
        <v>6.6766886112695047</v>
      </c>
      <c r="E9" s="66">
        <v>0.73846440588800688</v>
      </c>
      <c r="F9" s="66">
        <v>1.1337217166368803</v>
      </c>
      <c r="G9" s="68">
        <f t="shared" si="0"/>
        <v>64.364205815371008</v>
      </c>
      <c r="H9" s="66">
        <f t="shared" si="1"/>
        <v>1.8061672901661781</v>
      </c>
      <c r="I9" s="69">
        <f t="shared" si="3"/>
        <v>64.364205815370994</v>
      </c>
      <c r="J9" s="70">
        <f t="shared" si="4"/>
        <v>5.1727239411168435</v>
      </c>
      <c r="K9" s="70">
        <f t="shared" si="2"/>
        <v>3.5218362405984016</v>
      </c>
    </row>
    <row r="10" spans="1:11" x14ac:dyDescent="0.25">
      <c r="A10" s="66" t="s">
        <v>203</v>
      </c>
      <c r="B10" s="66" t="s">
        <v>204</v>
      </c>
      <c r="C10" s="67">
        <v>10.570882635958929</v>
      </c>
      <c r="D10" s="67">
        <v>6.1225137201408497</v>
      </c>
      <c r="E10" s="66">
        <v>0.90422482626385914</v>
      </c>
      <c r="F10" s="66">
        <v>0.93354011915783586</v>
      </c>
      <c r="G10" s="68">
        <f t="shared" si="0"/>
        <v>54.84536722996971</v>
      </c>
      <c r="H10" s="66">
        <f t="shared" si="1"/>
        <v>1.2146121862909116</v>
      </c>
      <c r="I10" s="69">
        <f t="shared" si="3"/>
        <v>54.845367229969725</v>
      </c>
      <c r="J10" s="70">
        <f t="shared" si="4"/>
        <v>3.3774260551703938</v>
      </c>
      <c r="K10" s="70">
        <f t="shared" si="2"/>
        <v>2.1293373535664473</v>
      </c>
    </row>
    <row r="12" spans="1:11" x14ac:dyDescent="0.25">
      <c r="I12" s="4" t="s">
        <v>54</v>
      </c>
      <c r="J12" s="5">
        <f>MEDIAN(J2:J10)</f>
        <v>3.3774260551703938</v>
      </c>
      <c r="K12" s="5">
        <f>MEDIAN(K2:K10)</f>
        <v>2.1293373535664473</v>
      </c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3CD5C-985C-49C6-BB86-56F067F288DB}">
  <dimension ref="A1:AA55"/>
  <sheetViews>
    <sheetView zoomScale="85" zoomScaleNormal="85" workbookViewId="0">
      <selection activeCell="G13" sqref="G13"/>
    </sheetView>
  </sheetViews>
  <sheetFormatPr defaultColWidth="9.140625" defaultRowHeight="15" x14ac:dyDescent="0.25"/>
  <cols>
    <col min="1" max="1" width="16.7109375" bestFit="1" customWidth="1"/>
    <col min="2" max="2" width="14" bestFit="1" customWidth="1"/>
    <col min="3" max="3" width="13.5703125" bestFit="1" customWidth="1"/>
    <col min="24" max="24" width="28.140625" bestFit="1" customWidth="1"/>
    <col min="25" max="25" width="31.7109375" bestFit="1" customWidth="1"/>
    <col min="26" max="26" width="13.85546875" bestFit="1" customWidth="1"/>
    <col min="27" max="27" width="25.140625" bestFit="1" customWidth="1"/>
  </cols>
  <sheetData>
    <row r="1" spans="1:27" x14ac:dyDescent="0.25">
      <c r="A1" s="50" t="s">
        <v>120</v>
      </c>
      <c r="B1" s="51" t="s">
        <v>0</v>
      </c>
      <c r="C1" s="51" t="s">
        <v>121</v>
      </c>
      <c r="D1" s="51" t="s">
        <v>1</v>
      </c>
      <c r="E1" s="51" t="s">
        <v>2</v>
      </c>
      <c r="F1" s="51" t="s">
        <v>3</v>
      </c>
      <c r="G1" s="51" t="s">
        <v>122</v>
      </c>
      <c r="H1" s="51" t="s">
        <v>4</v>
      </c>
      <c r="I1" s="51" t="s">
        <v>5</v>
      </c>
      <c r="J1" s="51" t="s">
        <v>6</v>
      </c>
      <c r="K1" s="51" t="s">
        <v>7</v>
      </c>
      <c r="L1" s="51" t="s">
        <v>8</v>
      </c>
      <c r="M1" s="51" t="s">
        <v>123</v>
      </c>
      <c r="N1" s="51" t="s">
        <v>124</v>
      </c>
      <c r="O1" s="51" t="s">
        <v>125</v>
      </c>
      <c r="P1" s="51" t="s">
        <v>126</v>
      </c>
      <c r="Q1" s="52" t="s">
        <v>127</v>
      </c>
      <c r="R1" s="51" t="s">
        <v>128</v>
      </c>
      <c r="S1" s="51" t="s">
        <v>129</v>
      </c>
      <c r="T1" s="51" t="s">
        <v>130</v>
      </c>
      <c r="U1" s="50" t="s">
        <v>131</v>
      </c>
      <c r="V1" s="50" t="s">
        <v>132</v>
      </c>
      <c r="W1" s="50" t="s">
        <v>133</v>
      </c>
      <c r="X1" s="58" t="s">
        <v>134</v>
      </c>
      <c r="Y1" s="58" t="s">
        <v>135</v>
      </c>
      <c r="Z1" s="58" t="s">
        <v>136</v>
      </c>
      <c r="AA1" s="58" t="s">
        <v>137</v>
      </c>
    </row>
    <row r="2" spans="1:27" x14ac:dyDescent="0.25">
      <c r="A2" s="53" t="s">
        <v>138</v>
      </c>
      <c r="B2" s="51" t="s">
        <v>75</v>
      </c>
      <c r="C2" s="51" t="s">
        <v>139</v>
      </c>
      <c r="D2" s="51">
        <v>55.62925645</v>
      </c>
      <c r="E2" s="51">
        <v>2.8799999999999999E-2</v>
      </c>
      <c r="F2" s="51">
        <v>0.47283207999999999</v>
      </c>
      <c r="G2" s="51">
        <v>18.181073675</v>
      </c>
      <c r="H2" s="51">
        <v>0.65264999999999995</v>
      </c>
      <c r="I2" s="51">
        <v>20.76741397</v>
      </c>
      <c r="J2" s="51">
        <v>0.96555867500000003</v>
      </c>
      <c r="K2" s="51">
        <v>0</v>
      </c>
      <c r="L2" s="51">
        <v>1.435E-2</v>
      </c>
      <c r="M2" s="51">
        <v>2.6749999999999999E-2</v>
      </c>
      <c r="N2" s="51">
        <v>8.1500000000000003E-2</v>
      </c>
      <c r="O2" s="51">
        <v>3.9852774000000007E-3</v>
      </c>
      <c r="P2" s="51">
        <v>4.3E-3</v>
      </c>
      <c r="Q2" s="51">
        <v>0</v>
      </c>
      <c r="R2" s="51">
        <v>2.7499999999999998E-3</v>
      </c>
      <c r="S2" s="51">
        <v>0</v>
      </c>
      <c r="T2" s="51">
        <v>1.15E-3</v>
      </c>
      <c r="U2" s="54">
        <v>2.1665184909569186</v>
      </c>
      <c r="V2" s="54">
        <v>64.833812286453593</v>
      </c>
      <c r="W2" s="54">
        <v>32.999669222589475</v>
      </c>
      <c r="X2" s="59">
        <f>100*(I2/40.3044)/((I2/40.3044)+(G2/71.844))</f>
        <v>67.063101708344249</v>
      </c>
      <c r="Y2" s="55">
        <f>10^((LOG(V2)-LOG(36268.9182-188.1602*V2))/0.4602+6.1409)</f>
        <v>3.6065136895897929</v>
      </c>
      <c r="Z2" s="55">
        <f>(I2/40.3044)/(G2/71.844)</f>
        <v>2.0361085951233626</v>
      </c>
      <c r="AA2" s="60"/>
    </row>
    <row r="3" spans="1:27" x14ac:dyDescent="0.25">
      <c r="A3" s="53" t="s">
        <v>140</v>
      </c>
      <c r="B3" s="51" t="s">
        <v>75</v>
      </c>
      <c r="C3" s="51" t="s">
        <v>139</v>
      </c>
      <c r="D3" s="51">
        <v>56.228792499999997</v>
      </c>
      <c r="E3" s="51">
        <v>4.9699999999999994E-2</v>
      </c>
      <c r="F3" s="51">
        <v>0.39562992000000002</v>
      </c>
      <c r="G3" s="51">
        <v>18.501026759999998</v>
      </c>
      <c r="H3" s="51">
        <v>0.68684999999999996</v>
      </c>
      <c r="I3" s="51">
        <v>20.790054949999998</v>
      </c>
      <c r="J3" s="51">
        <v>0.77901387499999997</v>
      </c>
      <c r="K3" s="51">
        <v>0</v>
      </c>
      <c r="L3" s="51">
        <v>0</v>
      </c>
      <c r="M3" s="51">
        <v>1.8450000000000001E-2</v>
      </c>
      <c r="N3" s="51">
        <v>6.8399999999999989E-2</v>
      </c>
      <c r="O3" s="51">
        <v>0</v>
      </c>
      <c r="P3" s="51">
        <v>4.5999999999999999E-3</v>
      </c>
      <c r="Q3" s="51">
        <v>6.4000000000000003E-3</v>
      </c>
      <c r="R3" s="51">
        <v>1.4199999999999999E-2</v>
      </c>
      <c r="S3" s="51">
        <v>0</v>
      </c>
      <c r="T3" s="51">
        <v>1.8E-3</v>
      </c>
      <c r="U3" s="54">
        <v>1.7431883711528064</v>
      </c>
      <c r="V3" s="54">
        <v>64.727699744254906</v>
      </c>
      <c r="W3" s="54">
        <v>33.529111884592304</v>
      </c>
      <c r="X3" s="59">
        <f t="shared" ref="X3:X55" si="0">100*(I3/40.3044)/((I3/40.3044)+(G3/71.844))</f>
        <v>66.700831035132992</v>
      </c>
      <c r="Y3" s="55">
        <v>3.5872304234176804</v>
      </c>
      <c r="Z3" s="55">
        <f t="shared" ref="Z3:Z55" si="1">(I3/40.3044)/(G3/71.844)</f>
        <v>2.0030779478462994</v>
      </c>
      <c r="AA3" s="60"/>
    </row>
    <row r="4" spans="1:27" x14ac:dyDescent="0.25">
      <c r="A4" s="53" t="s">
        <v>141</v>
      </c>
      <c r="B4" s="51" t="s">
        <v>75</v>
      </c>
      <c r="C4" s="51" t="s">
        <v>139</v>
      </c>
      <c r="D4" s="51">
        <v>56.119759299999998</v>
      </c>
      <c r="E4" s="51">
        <v>3.1649999999999998E-2</v>
      </c>
      <c r="F4" s="51">
        <v>0.43719648</v>
      </c>
      <c r="G4" s="51">
        <v>18.272898550000001</v>
      </c>
      <c r="H4" s="51">
        <v>0.67725000000000002</v>
      </c>
      <c r="I4" s="51">
        <v>20.762277359999999</v>
      </c>
      <c r="J4" s="51">
        <v>0.93182715000000005</v>
      </c>
      <c r="K4" s="51">
        <v>0</v>
      </c>
      <c r="L4" s="51">
        <v>1E-3</v>
      </c>
      <c r="M4" s="51">
        <v>1.78E-2</v>
      </c>
      <c r="N4" s="51">
        <v>1.7100000000000001E-2</v>
      </c>
      <c r="O4" s="51">
        <v>0</v>
      </c>
      <c r="P4" s="51">
        <v>4.4499999999999991E-3</v>
      </c>
      <c r="Q4" s="51">
        <v>0</v>
      </c>
      <c r="R4" s="51">
        <v>9.6499999999999989E-3</v>
      </c>
      <c r="S4" s="51">
        <v>0</v>
      </c>
      <c r="T4" s="51">
        <v>0</v>
      </c>
      <c r="U4" s="54">
        <v>2.0884773756687078</v>
      </c>
      <c r="V4" s="54">
        <v>64.744787915986763</v>
      </c>
      <c r="W4" s="54">
        <v>33.166734708344528</v>
      </c>
      <c r="X4" s="59">
        <f t="shared" si="0"/>
        <v>66.946253681916048</v>
      </c>
      <c r="Y4" s="55">
        <v>3.5903298386703324</v>
      </c>
      <c r="Z4" s="55">
        <f t="shared" si="1"/>
        <v>2.0253756726295586</v>
      </c>
      <c r="AA4" s="60"/>
    </row>
    <row r="5" spans="1:27" x14ac:dyDescent="0.25">
      <c r="A5" s="53" t="s">
        <v>142</v>
      </c>
      <c r="B5" s="51" t="s">
        <v>84</v>
      </c>
      <c r="C5" s="51" t="s">
        <v>139</v>
      </c>
      <c r="D5" s="51">
        <v>53.112846400000002</v>
      </c>
      <c r="E5" s="51">
        <v>0.2671</v>
      </c>
      <c r="F5" s="51">
        <v>1.9173946399999999</v>
      </c>
      <c r="G5" s="51">
        <v>16.590767469999999</v>
      </c>
      <c r="H5" s="51">
        <v>0.35020000000000001</v>
      </c>
      <c r="I5" s="51">
        <v>25.800443979999997</v>
      </c>
      <c r="J5" s="51">
        <v>1.45937425</v>
      </c>
      <c r="K5" s="51">
        <v>9.4840199999999993E-3</v>
      </c>
      <c r="L5" s="51">
        <v>1.175E-2</v>
      </c>
      <c r="M5" s="51">
        <v>0.14250000000000002</v>
      </c>
      <c r="N5" s="51">
        <v>0.19855</v>
      </c>
      <c r="O5" s="51">
        <v>0</v>
      </c>
      <c r="P5" s="51">
        <v>5.9500000000000004E-3</v>
      </c>
      <c r="Q5" s="51">
        <v>1.3950000000000001E-2</v>
      </c>
      <c r="R5" s="51">
        <v>1.6150000000000001E-2</v>
      </c>
      <c r="S5" s="51">
        <v>1.9349999999999999E-2</v>
      </c>
      <c r="T5" s="51">
        <v>6.7499999999999999E-3</v>
      </c>
      <c r="U5" s="54">
        <v>2.8850850996526707</v>
      </c>
      <c r="V5" s="54">
        <v>70.966688034856432</v>
      </c>
      <c r="W5" s="54">
        <v>26.148226865490894</v>
      </c>
      <c r="X5" s="59">
        <f t="shared" si="0"/>
        <v>73.489112995817024</v>
      </c>
      <c r="Y5" s="55">
        <v>4.8836801453855232</v>
      </c>
      <c r="Z5" s="55">
        <f t="shared" si="1"/>
        <v>2.7720352391159788</v>
      </c>
      <c r="AA5" s="60"/>
    </row>
    <row r="6" spans="1:27" x14ac:dyDescent="0.25">
      <c r="A6" s="53" t="s">
        <v>143</v>
      </c>
      <c r="B6" s="51" t="s">
        <v>84</v>
      </c>
      <c r="C6" s="51" t="s">
        <v>139</v>
      </c>
      <c r="D6" s="51">
        <v>52.528689307</v>
      </c>
      <c r="E6" s="51">
        <v>0.22030499999999997</v>
      </c>
      <c r="F6" s="51">
        <v>1.8373675488000001</v>
      </c>
      <c r="G6" s="51">
        <v>19.4705032241</v>
      </c>
      <c r="H6" s="51">
        <v>0.426875</v>
      </c>
      <c r="I6" s="51">
        <v>23.154559711899999</v>
      </c>
      <c r="J6" s="51">
        <v>1.4057406270000001</v>
      </c>
      <c r="K6" s="51">
        <v>6.7135067999999996E-3</v>
      </c>
      <c r="L6" s="51">
        <v>0</v>
      </c>
      <c r="M6" s="51">
        <v>0.13074249999999998</v>
      </c>
      <c r="N6" s="51">
        <v>0.27683649999999999</v>
      </c>
      <c r="O6" s="51">
        <v>1.8038882550000003E-2</v>
      </c>
      <c r="P6" s="51">
        <v>8.6999999999999994E-3</v>
      </c>
      <c r="Q6" s="51">
        <v>7.3959999999999998E-3</v>
      </c>
      <c r="R6" s="51">
        <v>2.6235E-3</v>
      </c>
      <c r="S6" s="51">
        <v>4.6199999999999998E-2</v>
      </c>
      <c r="T6" s="51">
        <v>6.7499999999999999E-3</v>
      </c>
      <c r="U6" s="54">
        <v>2.8597073008120759</v>
      </c>
      <c r="V6" s="54">
        <v>65.53726661363018</v>
      </c>
      <c r="W6" s="54">
        <v>31.603026085557719</v>
      </c>
      <c r="X6" s="59">
        <f t="shared" si="0"/>
        <v>67.946788973078171</v>
      </c>
      <c r="Y6" s="55">
        <v>3.7365916891603717</v>
      </c>
      <c r="Z6" s="55">
        <f t="shared" si="1"/>
        <v>2.1198122370956511</v>
      </c>
      <c r="AA6" s="60"/>
    </row>
    <row r="7" spans="1:27" x14ac:dyDescent="0.25">
      <c r="A7" s="53" t="s">
        <v>144</v>
      </c>
      <c r="B7" s="51" t="s">
        <v>84</v>
      </c>
      <c r="C7" s="51" t="s">
        <v>139</v>
      </c>
      <c r="D7" s="51">
        <v>53.172931900000002</v>
      </c>
      <c r="E7" s="51">
        <v>0.23865</v>
      </c>
      <c r="F7" s="51">
        <v>2.0006274399999997</v>
      </c>
      <c r="G7" s="51">
        <v>16.128724824999999</v>
      </c>
      <c r="H7" s="51">
        <v>0.33845000000000003</v>
      </c>
      <c r="I7" s="51">
        <v>26.186238299999999</v>
      </c>
      <c r="J7" s="51">
        <v>1.4620648000000001</v>
      </c>
      <c r="K7" s="51">
        <v>1.4250599999999999E-3</v>
      </c>
      <c r="L7" s="51">
        <v>1.175E-2</v>
      </c>
      <c r="M7" s="51">
        <v>0.12434999999999999</v>
      </c>
      <c r="N7" s="51">
        <v>0.1681</v>
      </c>
      <c r="O7" s="51">
        <v>0</v>
      </c>
      <c r="P7" s="51">
        <v>5.9999999999999995E-4</v>
      </c>
      <c r="Q7" s="51">
        <v>1.125E-2</v>
      </c>
      <c r="R7" s="51">
        <v>1.01E-2</v>
      </c>
      <c r="S7" s="51">
        <v>3.6449999999999996E-2</v>
      </c>
      <c r="T7" s="51">
        <v>4.4999999999999997E-3</v>
      </c>
      <c r="U7" s="54">
        <v>2.8807492608459855</v>
      </c>
      <c r="V7" s="54">
        <v>71.787257586328607</v>
      </c>
      <c r="W7" s="54">
        <v>25.331993152825401</v>
      </c>
      <c r="X7" s="59">
        <f t="shared" si="0"/>
        <v>74.320019582631161</v>
      </c>
      <c r="Y7" s="55">
        <v>5.0813176781306018</v>
      </c>
      <c r="Z7" s="55">
        <f t="shared" si="1"/>
        <v>2.894083966371106</v>
      </c>
      <c r="AA7" s="60"/>
    </row>
    <row r="8" spans="1:27" x14ac:dyDescent="0.25">
      <c r="A8" s="53" t="s">
        <v>145</v>
      </c>
      <c r="B8" s="51" t="s">
        <v>84</v>
      </c>
      <c r="C8" s="51" t="s">
        <v>139</v>
      </c>
      <c r="D8" s="51">
        <v>53.269242361749995</v>
      </c>
      <c r="E8" s="51">
        <v>0.31818750000000001</v>
      </c>
      <c r="F8" s="51">
        <v>2.1063024443999998</v>
      </c>
      <c r="G8" s="51">
        <v>15.519568918825</v>
      </c>
      <c r="H8" s="51">
        <v>0.32179824999999995</v>
      </c>
      <c r="I8" s="51">
        <v>26.252118315449998</v>
      </c>
      <c r="J8" s="51">
        <v>1.5306817970000002</v>
      </c>
      <c r="K8" s="51">
        <v>5.7882005999999996E-3</v>
      </c>
      <c r="L8" s="51">
        <v>4.9379999999999997E-3</v>
      </c>
      <c r="M8" s="51">
        <v>0.12776425</v>
      </c>
      <c r="N8" s="51">
        <v>0.16811274999999998</v>
      </c>
      <c r="O8" s="51">
        <v>0</v>
      </c>
      <c r="P8" s="51">
        <v>1.542175E-2</v>
      </c>
      <c r="Q8" s="51">
        <v>4.7449999999999992E-3</v>
      </c>
      <c r="R8" s="51">
        <v>1.017675E-2</v>
      </c>
      <c r="S8" s="51">
        <v>5.7799499999999997E-2</v>
      </c>
      <c r="T8" s="51">
        <v>1.4974749999999998E-2</v>
      </c>
      <c r="U8" s="54">
        <v>3.0355867597446511</v>
      </c>
      <c r="V8" s="54">
        <v>72.43650611861608</v>
      </c>
      <c r="W8" s="54">
        <v>24.527907121639263</v>
      </c>
      <c r="X8" s="59">
        <f t="shared" si="0"/>
        <v>75.094925385865452</v>
      </c>
      <c r="Y8" s="55">
        <v>5.2426583213527671</v>
      </c>
      <c r="Z8" s="55">
        <f t="shared" si="1"/>
        <v>3.0152459508491627</v>
      </c>
      <c r="AA8" s="60"/>
    </row>
    <row r="9" spans="1:27" x14ac:dyDescent="0.25">
      <c r="A9" s="53" t="s">
        <v>146</v>
      </c>
      <c r="B9" s="51" t="s">
        <v>84</v>
      </c>
      <c r="C9" s="51" t="s">
        <v>139</v>
      </c>
      <c r="D9" s="51">
        <v>53.048097190500002</v>
      </c>
      <c r="E9" s="51">
        <v>0.25611299999999998</v>
      </c>
      <c r="F9" s="51">
        <v>1.8316262299999999</v>
      </c>
      <c r="G9" s="51">
        <v>17.696734692474998</v>
      </c>
      <c r="H9" s="51">
        <v>0.39399899999999999</v>
      </c>
      <c r="I9" s="51">
        <v>24.633891672449998</v>
      </c>
      <c r="J9" s="51">
        <v>1.2450385597500002</v>
      </c>
      <c r="K9" s="51">
        <v>1.9656000000000001E-3</v>
      </c>
      <c r="L9" s="51">
        <v>2.1914999999999999E-3</v>
      </c>
      <c r="M9" s="51">
        <v>0.1207305</v>
      </c>
      <c r="N9" s="51">
        <v>0.22336824999999999</v>
      </c>
      <c r="O9" s="51">
        <v>0</v>
      </c>
      <c r="P9" s="51">
        <v>2.4651000000000003E-2</v>
      </c>
      <c r="Q9" s="51">
        <v>1.64175E-3</v>
      </c>
      <c r="R9" s="51">
        <v>1.0890000000000001E-3</v>
      </c>
      <c r="S9" s="51">
        <v>1.28085E-2</v>
      </c>
      <c r="T9" s="51">
        <v>4.2865000000000004E-3</v>
      </c>
      <c r="U9" s="54">
        <v>2.5079402061112113</v>
      </c>
      <c r="V9" s="54">
        <v>69.040322661287291</v>
      </c>
      <c r="W9" s="54">
        <v>28.451737132601501</v>
      </c>
      <c r="X9" s="59">
        <f t="shared" si="0"/>
        <v>71.275035002954894</v>
      </c>
      <c r="Y9" s="55">
        <v>4.4459690938065339</v>
      </c>
      <c r="Z9" s="55">
        <f t="shared" si="1"/>
        <v>2.481292318729956</v>
      </c>
      <c r="AA9" s="60"/>
    </row>
    <row r="10" spans="1:27" x14ac:dyDescent="0.25">
      <c r="A10" s="53" t="s">
        <v>147</v>
      </c>
      <c r="B10" s="51" t="s">
        <v>84</v>
      </c>
      <c r="C10" s="51" t="s">
        <v>139</v>
      </c>
      <c r="D10" s="51">
        <v>53.223883915499997</v>
      </c>
      <c r="E10" s="51">
        <v>0.20345350000000001</v>
      </c>
      <c r="F10" s="51">
        <v>1.8807228664</v>
      </c>
      <c r="G10" s="51">
        <v>16.112495721750001</v>
      </c>
      <c r="H10" s="51">
        <v>0.31709149999999997</v>
      </c>
      <c r="I10" s="51">
        <v>25.7159228079</v>
      </c>
      <c r="J10" s="51">
        <v>1.5872645617500001</v>
      </c>
      <c r="K10" s="51">
        <v>7.3945872000000003E-3</v>
      </c>
      <c r="L10" s="51">
        <v>4.2195000000000002E-3</v>
      </c>
      <c r="M10" s="51">
        <v>0.13493450000000001</v>
      </c>
      <c r="N10" s="51">
        <v>0.19793899999999998</v>
      </c>
      <c r="O10" s="51">
        <v>9.3645327249999993E-3</v>
      </c>
      <c r="P10" s="51">
        <v>5.032E-3</v>
      </c>
      <c r="Q10" s="51">
        <v>0</v>
      </c>
      <c r="R10" s="51">
        <v>1.1528E-2</v>
      </c>
      <c r="S10" s="51">
        <v>3.3467999999999998E-2</v>
      </c>
      <c r="T10" s="51">
        <v>8.2909999999999998E-3</v>
      </c>
      <c r="U10" s="54">
        <v>3.1622462666083195</v>
      </c>
      <c r="V10" s="54">
        <v>71.282658956158969</v>
      </c>
      <c r="W10" s="54">
        <v>25.555094777232707</v>
      </c>
      <c r="X10" s="59">
        <f t="shared" si="0"/>
        <v>73.991979277555885</v>
      </c>
      <c r="Y10" s="55">
        <v>4.9589666754263302</v>
      </c>
      <c r="Z10" s="55">
        <f t="shared" si="1"/>
        <v>2.844967714659774</v>
      </c>
      <c r="AA10" s="60"/>
    </row>
    <row r="11" spans="1:27" x14ac:dyDescent="0.25">
      <c r="A11" s="53" t="s">
        <v>148</v>
      </c>
      <c r="B11" s="51" t="s">
        <v>84</v>
      </c>
      <c r="C11" s="51" t="s">
        <v>139</v>
      </c>
      <c r="D11" s="51">
        <v>53.087151300000002</v>
      </c>
      <c r="E11" s="51">
        <v>0.26629999999999998</v>
      </c>
      <c r="F11" s="51">
        <v>1.92212944</v>
      </c>
      <c r="G11" s="51">
        <v>16.371897220000001</v>
      </c>
      <c r="H11" s="51">
        <v>0.35620000000000002</v>
      </c>
      <c r="I11" s="51">
        <v>26.164893939999999</v>
      </c>
      <c r="J11" s="51">
        <v>1.4919598000000001</v>
      </c>
      <c r="K11" s="51">
        <v>3.9115440000000001E-2</v>
      </c>
      <c r="L11" s="51">
        <v>2.4199999999999999E-2</v>
      </c>
      <c r="M11" s="51">
        <v>0.17169999999999999</v>
      </c>
      <c r="N11" s="51">
        <v>6.0499999999999998E-2</v>
      </c>
      <c r="O11" s="51">
        <v>0</v>
      </c>
      <c r="P11" s="51">
        <v>4.6600000000000003E-2</v>
      </c>
      <c r="Q11" s="51">
        <v>5.4999999999999997E-3</v>
      </c>
      <c r="R11" s="51">
        <v>0</v>
      </c>
      <c r="S11" s="51">
        <v>0</v>
      </c>
      <c r="T11" s="51">
        <v>0</v>
      </c>
      <c r="U11" s="54">
        <v>2.9278816399897019</v>
      </c>
      <c r="V11" s="54">
        <v>71.441535903734348</v>
      </c>
      <c r="W11" s="54">
        <v>25.630582456275945</v>
      </c>
      <c r="X11" s="59">
        <f t="shared" si="0"/>
        <v>74.01770088959465</v>
      </c>
      <c r="Y11" s="55">
        <v>4.9972067548387145</v>
      </c>
      <c r="Z11" s="55">
        <f t="shared" si="1"/>
        <v>2.8487741048270885</v>
      </c>
      <c r="AA11" s="60"/>
    </row>
    <row r="12" spans="1:27" x14ac:dyDescent="0.25">
      <c r="A12" s="53" t="s">
        <v>149</v>
      </c>
      <c r="B12" s="51" t="s">
        <v>84</v>
      </c>
      <c r="C12" s="51" t="s">
        <v>139</v>
      </c>
      <c r="D12" s="51">
        <v>53.247897598499996</v>
      </c>
      <c r="E12" s="51">
        <v>9.0634500000000007E-2</v>
      </c>
      <c r="F12" s="51">
        <v>1.3789990368</v>
      </c>
      <c r="G12" s="51">
        <v>17.519325763499999</v>
      </c>
      <c r="H12" s="51">
        <v>0.41708699999999999</v>
      </c>
      <c r="I12" s="51">
        <v>25.1575408854</v>
      </c>
      <c r="J12" s="51">
        <v>1.2056444235000001</v>
      </c>
      <c r="K12" s="51">
        <v>0</v>
      </c>
      <c r="L12" s="51">
        <v>5.3955000000000001E-3</v>
      </c>
      <c r="M12" s="51">
        <v>5.7370500000000005E-2</v>
      </c>
      <c r="N12" s="51">
        <v>2.5591500000000003E-2</v>
      </c>
      <c r="O12" s="51">
        <v>4.5412653602250011E-2</v>
      </c>
      <c r="P12" s="51">
        <v>1.0296E-2</v>
      </c>
      <c r="Q12" s="51">
        <v>1.0197000000000001E-2</v>
      </c>
      <c r="R12" s="51">
        <v>6.3854999999999997E-3</v>
      </c>
      <c r="S12" s="51">
        <v>3.6184500000000001E-2</v>
      </c>
      <c r="T12" s="51">
        <v>2.475E-4</v>
      </c>
      <c r="U12" s="54">
        <v>2.4010685086073926</v>
      </c>
      <c r="V12" s="54">
        <v>69.709008633123332</v>
      </c>
      <c r="W12" s="54">
        <v>27.889922858269276</v>
      </c>
      <c r="X12" s="59">
        <f t="shared" si="0"/>
        <v>71.907734541027622</v>
      </c>
      <c r="Y12" s="55">
        <v>4.5938552502634638</v>
      </c>
      <c r="Z12" s="55">
        <f t="shared" si="1"/>
        <v>2.5596986702993387</v>
      </c>
      <c r="AA12" s="60"/>
    </row>
    <row r="13" spans="1:27" x14ac:dyDescent="0.25">
      <c r="A13" s="53" t="s">
        <v>150</v>
      </c>
      <c r="B13" s="51" t="s">
        <v>84</v>
      </c>
      <c r="C13" s="51" t="s">
        <v>139</v>
      </c>
      <c r="D13" s="51">
        <v>53.188030702249996</v>
      </c>
      <c r="E13" s="51">
        <v>0.23830950000000001</v>
      </c>
      <c r="F13" s="51">
        <v>1.8677769263999999</v>
      </c>
      <c r="G13" s="51">
        <v>16.34482775</v>
      </c>
      <c r="H13" s="51">
        <v>0.34249825</v>
      </c>
      <c r="I13" s="51">
        <v>25.828271439999998</v>
      </c>
      <c r="J13" s="51">
        <v>1.478357575</v>
      </c>
      <c r="K13" s="51">
        <v>1.4250599999999999E-3</v>
      </c>
      <c r="L13" s="51">
        <v>5.1000000000000004E-3</v>
      </c>
      <c r="M13" s="51">
        <v>0.12713150000000001</v>
      </c>
      <c r="N13" s="51">
        <v>0.1681</v>
      </c>
      <c r="O13" s="51">
        <v>0</v>
      </c>
      <c r="P13" s="51">
        <v>1.157175E-2</v>
      </c>
      <c r="Q13" s="51">
        <v>2.7417500000000003E-3</v>
      </c>
      <c r="R13" s="51">
        <v>7.2110000000000004E-3</v>
      </c>
      <c r="S13" s="51">
        <v>9.7999999999999997E-3</v>
      </c>
      <c r="T13" s="51">
        <v>0</v>
      </c>
      <c r="U13" s="54">
        <v>2.9307458247857801</v>
      </c>
      <c r="V13" s="54">
        <v>71.240902930396373</v>
      </c>
      <c r="W13" s="54">
        <v>25.82835124481786</v>
      </c>
      <c r="X13" s="59">
        <f t="shared" si="0"/>
        <v>73.799909495010553</v>
      </c>
      <c r="Y13" s="55">
        <v>4.9489592720037594</v>
      </c>
      <c r="Z13" s="55">
        <f t="shared" si="1"/>
        <v>2.8167807084848184</v>
      </c>
      <c r="AA13" s="60"/>
    </row>
    <row r="14" spans="1:27" x14ac:dyDescent="0.25">
      <c r="A14" s="53" t="s">
        <v>151</v>
      </c>
      <c r="B14" s="51" t="s">
        <v>84</v>
      </c>
      <c r="C14" s="51" t="s">
        <v>139</v>
      </c>
      <c r="D14" s="51">
        <v>52.950224749999997</v>
      </c>
      <c r="E14" s="51">
        <v>0.10575000000000001</v>
      </c>
      <c r="F14" s="51">
        <v>1.5101519999999999</v>
      </c>
      <c r="G14" s="51">
        <v>20.571841214999999</v>
      </c>
      <c r="H14" s="51">
        <v>0.50584999999999991</v>
      </c>
      <c r="I14" s="51">
        <v>23.167208240000001</v>
      </c>
      <c r="J14" s="51">
        <v>0.940247575</v>
      </c>
      <c r="K14" s="51">
        <v>9.3366E-4</v>
      </c>
      <c r="L14" s="51">
        <v>1.7100000000000001E-2</v>
      </c>
      <c r="M14" s="51">
        <v>8.829999999999999E-2</v>
      </c>
      <c r="N14" s="51">
        <v>0.23394999999999999</v>
      </c>
      <c r="O14" s="51">
        <v>2.9049830900000011E-2</v>
      </c>
      <c r="P14" s="51">
        <v>2.1350000000000001E-2</v>
      </c>
      <c r="Q14" s="51">
        <v>5.7499999999999999E-3</v>
      </c>
      <c r="R14" s="51">
        <v>7.4999999999999997E-3</v>
      </c>
      <c r="S14" s="51">
        <v>4.7600000000000003E-2</v>
      </c>
      <c r="T14" s="51">
        <v>6.7499999999999999E-3</v>
      </c>
      <c r="U14" s="54">
        <v>1.8944771327875489</v>
      </c>
      <c r="V14" s="54">
        <v>64.946575587329548</v>
      </c>
      <c r="W14" s="54">
        <v>33.158947279882881</v>
      </c>
      <c r="X14" s="59">
        <f t="shared" si="0"/>
        <v>66.748924872049102</v>
      </c>
      <c r="Y14" s="55">
        <v>3.627101988542023</v>
      </c>
      <c r="Z14" s="55">
        <f t="shared" si="1"/>
        <v>2.007421552993331</v>
      </c>
      <c r="AA14" s="60"/>
    </row>
    <row r="15" spans="1:27" x14ac:dyDescent="0.25">
      <c r="A15" s="53" t="s">
        <v>152</v>
      </c>
      <c r="B15" s="51" t="s">
        <v>86</v>
      </c>
      <c r="C15" s="51" t="s">
        <v>139</v>
      </c>
      <c r="D15" s="51">
        <v>52.295097400000003</v>
      </c>
      <c r="E15" s="51">
        <v>0.23619999999999999</v>
      </c>
      <c r="F15" s="51">
        <v>1.8965116800000001</v>
      </c>
      <c r="G15" s="51">
        <v>18.18826872</v>
      </c>
      <c r="H15" s="51">
        <v>0.35880000000000001</v>
      </c>
      <c r="I15" s="51">
        <v>24.693429719999997</v>
      </c>
      <c r="J15" s="51">
        <v>1.3353100000000002</v>
      </c>
      <c r="K15" s="51">
        <v>0</v>
      </c>
      <c r="L15" s="51">
        <v>1.1599999999999999E-2</v>
      </c>
      <c r="M15" s="51">
        <v>9.8900000000000002E-2</v>
      </c>
      <c r="N15" s="51">
        <v>0.40360000000000001</v>
      </c>
      <c r="O15" s="51">
        <v>0</v>
      </c>
      <c r="P15" s="51">
        <v>9.1999999999999998E-3</v>
      </c>
      <c r="Q15" s="51">
        <v>1.52E-2</v>
      </c>
      <c r="R15" s="51">
        <v>1.2999999999999999E-2</v>
      </c>
      <c r="S15" s="51">
        <v>0.1215</v>
      </c>
      <c r="T15" s="51">
        <v>5.4000000000000003E-3</v>
      </c>
      <c r="U15" s="54">
        <v>2.6614212074098149</v>
      </c>
      <c r="V15" s="54">
        <v>68.477569162906562</v>
      </c>
      <c r="W15" s="54">
        <v>28.861009629683625</v>
      </c>
      <c r="X15" s="59">
        <f t="shared" si="0"/>
        <v>70.760840383603352</v>
      </c>
      <c r="Y15" s="55">
        <v>4.3247368262742816</v>
      </c>
      <c r="Z15" s="55">
        <f t="shared" si="1"/>
        <v>2.4200709360990769</v>
      </c>
      <c r="AA15" s="60"/>
    </row>
    <row r="16" spans="1:27" x14ac:dyDescent="0.25">
      <c r="A16" s="53" t="s">
        <v>153</v>
      </c>
      <c r="B16" s="51" t="s">
        <v>86</v>
      </c>
      <c r="C16" s="51" t="s">
        <v>139</v>
      </c>
      <c r="D16" s="51">
        <v>53.966323312999997</v>
      </c>
      <c r="E16" s="51">
        <v>0.12431299999999999</v>
      </c>
      <c r="F16" s="51">
        <v>1.6159772719999999</v>
      </c>
      <c r="G16" s="51">
        <v>15.1329386474</v>
      </c>
      <c r="H16" s="51">
        <v>0.34059899999999999</v>
      </c>
      <c r="I16" s="51">
        <v>26.830373183599995</v>
      </c>
      <c r="J16" s="51">
        <v>1.2020600130000001</v>
      </c>
      <c r="K16" s="51">
        <v>0</v>
      </c>
      <c r="L16" s="51">
        <v>1.1564E-2</v>
      </c>
      <c r="M16" s="51">
        <v>2.1804999999999998E-2</v>
      </c>
      <c r="N16" s="51">
        <v>0.19991999999999999</v>
      </c>
      <c r="O16" s="51">
        <v>0</v>
      </c>
      <c r="P16" s="51">
        <v>7.0069999999999993E-3</v>
      </c>
      <c r="Q16" s="51">
        <v>4.8999999999999998E-3</v>
      </c>
      <c r="R16" s="51">
        <v>1.2201E-2</v>
      </c>
      <c r="S16" s="51">
        <v>4.4785999999999999E-2</v>
      </c>
      <c r="T16" s="51">
        <v>5.9779999999999989E-3</v>
      </c>
      <c r="U16" s="54">
        <v>2.3749748475323931</v>
      </c>
      <c r="V16" s="54">
        <v>73.755597684054663</v>
      </c>
      <c r="W16" s="54">
        <v>23.869427468412947</v>
      </c>
      <c r="X16" s="59">
        <f t="shared" si="0"/>
        <v>75.963825780058926</v>
      </c>
      <c r="Y16" s="55">
        <v>5.5845148260860791</v>
      </c>
      <c r="Z16" s="55">
        <f t="shared" si="1"/>
        <v>3.1603958718620562</v>
      </c>
      <c r="AA16" s="60"/>
    </row>
    <row r="17" spans="1:27" x14ac:dyDescent="0.25">
      <c r="A17" s="53" t="s">
        <v>154</v>
      </c>
      <c r="B17" s="51" t="s">
        <v>86</v>
      </c>
      <c r="C17" s="51" t="s">
        <v>139</v>
      </c>
      <c r="D17" s="51">
        <v>52.608123315</v>
      </c>
      <c r="E17" s="51">
        <v>0.28719900000000004</v>
      </c>
      <c r="F17" s="51">
        <v>1.8331391231999998</v>
      </c>
      <c r="G17" s="51">
        <v>18.086782358700003</v>
      </c>
      <c r="H17" s="51">
        <v>0.35451899999999997</v>
      </c>
      <c r="I17" s="51">
        <v>24.2419007556</v>
      </c>
      <c r="J17" s="51">
        <v>1.351355643</v>
      </c>
      <c r="K17" s="51">
        <v>0</v>
      </c>
      <c r="L17" s="51">
        <v>6.0390000000000001E-3</v>
      </c>
      <c r="M17" s="51">
        <v>0.110286</v>
      </c>
      <c r="N17" s="51">
        <v>0.24660899999999999</v>
      </c>
      <c r="O17" s="51">
        <v>8.2853815027499986E-2</v>
      </c>
      <c r="P17" s="51">
        <v>1.7028000000000001E-2</v>
      </c>
      <c r="Q17" s="51">
        <v>1.3463999999999999E-2</v>
      </c>
      <c r="R17" s="51">
        <v>4.5539999999999999E-3</v>
      </c>
      <c r="S17" s="51">
        <v>3.8907000000000004E-2</v>
      </c>
      <c r="T17" s="51">
        <v>0</v>
      </c>
      <c r="U17" s="54">
        <v>2.7312235798551128</v>
      </c>
      <c r="V17" s="54">
        <v>68.169431456145873</v>
      </c>
      <c r="W17" s="54">
        <v>29.099344963999016</v>
      </c>
      <c r="X17" s="59">
        <f t="shared" si="0"/>
        <v>70.494075864392897</v>
      </c>
      <c r="Y17" s="55">
        <v>4.2595783882402936</v>
      </c>
      <c r="Z17" s="55">
        <f t="shared" si="1"/>
        <v>2.3891499056395316</v>
      </c>
      <c r="AA17" s="60"/>
    </row>
    <row r="18" spans="1:27" x14ac:dyDescent="0.25">
      <c r="A18" s="53" t="s">
        <v>155</v>
      </c>
      <c r="B18" s="51" t="s">
        <v>86</v>
      </c>
      <c r="C18" s="51" t="s">
        <v>139</v>
      </c>
      <c r="D18" s="51">
        <v>53.400671576999997</v>
      </c>
      <c r="E18" s="51">
        <v>9.7663499999999986E-2</v>
      </c>
      <c r="F18" s="51">
        <v>1.42103808</v>
      </c>
      <c r="G18" s="51">
        <v>19.465026436350001</v>
      </c>
      <c r="H18" s="51">
        <v>0.39896999999999999</v>
      </c>
      <c r="I18" s="51">
        <v>23.7151089846</v>
      </c>
      <c r="J18" s="51">
        <v>1.242047565</v>
      </c>
      <c r="K18" s="51">
        <v>9.4378284000000007E-3</v>
      </c>
      <c r="L18" s="51">
        <v>7.0784999999999997E-3</v>
      </c>
      <c r="M18" s="51">
        <v>6.0241499999999996E-2</v>
      </c>
      <c r="N18" s="51">
        <v>0</v>
      </c>
      <c r="O18" s="51">
        <v>0</v>
      </c>
      <c r="P18" s="51">
        <v>0</v>
      </c>
      <c r="Q18" s="51">
        <v>7.92E-3</v>
      </c>
      <c r="R18" s="51">
        <v>7.3755000000000001E-3</v>
      </c>
      <c r="S18" s="51">
        <v>5.2865999999999996E-2</v>
      </c>
      <c r="T18" s="51">
        <v>1.0890000000000001E-3</v>
      </c>
      <c r="U18" s="54">
        <v>2.4967440307143676</v>
      </c>
      <c r="V18" s="54">
        <v>66.327912096694078</v>
      </c>
      <c r="W18" s="54">
        <v>31.175343872591558</v>
      </c>
      <c r="X18" s="59">
        <f t="shared" si="0"/>
        <v>68.4715814233804</v>
      </c>
      <c r="Y18" s="55">
        <v>3.8875482834595134</v>
      </c>
      <c r="Z18" s="55">
        <f t="shared" si="1"/>
        <v>2.1717417020768872</v>
      </c>
      <c r="AA18" s="60"/>
    </row>
    <row r="19" spans="1:27" x14ac:dyDescent="0.25">
      <c r="A19" s="53" t="s">
        <v>156</v>
      </c>
      <c r="B19" s="51" t="s">
        <v>86</v>
      </c>
      <c r="C19" s="51" t="s">
        <v>139</v>
      </c>
      <c r="D19" s="51">
        <v>53.446905170999997</v>
      </c>
      <c r="E19" s="51">
        <v>9.0535499999999991E-2</v>
      </c>
      <c r="F19" s="51">
        <v>1.5931415808</v>
      </c>
      <c r="G19" s="51">
        <v>19.246999968899999</v>
      </c>
      <c r="H19" s="51">
        <v>0.4107015</v>
      </c>
      <c r="I19" s="51">
        <v>23.777119337399998</v>
      </c>
      <c r="J19" s="51">
        <v>1.2463883190000002</v>
      </c>
      <c r="K19" s="51">
        <v>1.8048630600000001E-2</v>
      </c>
      <c r="L19" s="51">
        <v>4.95E-4</v>
      </c>
      <c r="M19" s="51">
        <v>2.2423499999999999E-2</v>
      </c>
      <c r="N19" s="51">
        <v>8.9446499999999998E-2</v>
      </c>
      <c r="O19" s="51">
        <v>0</v>
      </c>
      <c r="P19" s="51">
        <v>2.8214999999999997E-2</v>
      </c>
      <c r="Q19" s="51">
        <v>1.36125E-2</v>
      </c>
      <c r="R19" s="51">
        <v>1.5839999999999999E-3</v>
      </c>
      <c r="S19" s="51">
        <v>5.5341000000000001E-2</v>
      </c>
      <c r="T19" s="51">
        <v>8.068500000000001E-3</v>
      </c>
      <c r="U19" s="54">
        <v>2.5090147060888737</v>
      </c>
      <c r="V19" s="54">
        <v>66.595438583557623</v>
      </c>
      <c r="W19" s="54">
        <v>30.895546710353507</v>
      </c>
      <c r="X19" s="59">
        <f t="shared" si="0"/>
        <v>68.770355841169206</v>
      </c>
      <c r="Y19" s="55">
        <v>3.9397941394320903</v>
      </c>
      <c r="Z19" s="55">
        <f t="shared" si="1"/>
        <v>2.2020857967964726</v>
      </c>
      <c r="AA19" s="60"/>
    </row>
    <row r="20" spans="1:27" x14ac:dyDescent="0.25">
      <c r="A20" s="53" t="s">
        <v>157</v>
      </c>
      <c r="B20" s="51" t="s">
        <v>86</v>
      </c>
      <c r="C20" s="51" t="s">
        <v>139</v>
      </c>
      <c r="D20" s="51">
        <v>53.389838601000001</v>
      </c>
      <c r="E20" s="51">
        <v>6.6429000000000002E-2</v>
      </c>
      <c r="F20" s="51">
        <v>1.4934715488000001</v>
      </c>
      <c r="G20" s="51">
        <v>19.002623032799999</v>
      </c>
      <c r="H20" s="51">
        <v>0.43005599999999999</v>
      </c>
      <c r="I20" s="51">
        <v>23.914865264399999</v>
      </c>
      <c r="J20" s="51">
        <v>1.102748823</v>
      </c>
      <c r="K20" s="51">
        <v>7.2972899999999997E-3</v>
      </c>
      <c r="L20" s="51">
        <v>2.3759999999999996E-3</v>
      </c>
      <c r="M20" s="51">
        <v>8.9495999999999992E-2</v>
      </c>
      <c r="N20" s="51">
        <v>0.13572899999999999</v>
      </c>
      <c r="O20" s="51">
        <v>0</v>
      </c>
      <c r="P20" s="51">
        <v>2.6334E-2</v>
      </c>
      <c r="Q20" s="51">
        <v>1.2869999999999999E-2</v>
      </c>
      <c r="R20" s="51">
        <v>2.0295000000000001E-2</v>
      </c>
      <c r="S20" s="51">
        <v>3.0591E-2</v>
      </c>
      <c r="T20" s="51">
        <v>0</v>
      </c>
      <c r="U20" s="54">
        <v>2.2255735875632743</v>
      </c>
      <c r="V20" s="54">
        <v>67.153507824715504</v>
      </c>
      <c r="W20" s="54">
        <v>30.620918587721224</v>
      </c>
      <c r="X20" s="59">
        <f t="shared" si="0"/>
        <v>69.167455345665587</v>
      </c>
      <c r="Y20" s="55">
        <v>4.050723492093093</v>
      </c>
      <c r="Z20" s="55">
        <f t="shared" si="1"/>
        <v>2.243326203565299</v>
      </c>
      <c r="AA20" s="60"/>
    </row>
    <row r="21" spans="1:27" x14ac:dyDescent="0.25">
      <c r="A21" s="53" t="s">
        <v>158</v>
      </c>
      <c r="B21" s="51" t="s">
        <v>86</v>
      </c>
      <c r="C21" s="51" t="s">
        <v>139</v>
      </c>
      <c r="D21" s="51">
        <v>53.483514826499999</v>
      </c>
      <c r="E21" s="51">
        <v>0.26086500000000001</v>
      </c>
      <c r="F21" s="51">
        <v>1.9409505191999998</v>
      </c>
      <c r="G21" s="51">
        <v>16.684827840449998</v>
      </c>
      <c r="H21" s="51">
        <v>0.35545949999999998</v>
      </c>
      <c r="I21" s="51">
        <v>25.4941544088</v>
      </c>
      <c r="J21" s="51">
        <v>1.5201517815000001</v>
      </c>
      <c r="K21" s="51">
        <v>8.3189106000000016E-3</v>
      </c>
      <c r="L21" s="51">
        <v>6.3854999999999997E-3</v>
      </c>
      <c r="M21" s="51">
        <v>9.9693000000000004E-2</v>
      </c>
      <c r="N21" s="51">
        <v>0.272646</v>
      </c>
      <c r="O21" s="51">
        <v>3.0229064390249995E-2</v>
      </c>
      <c r="P21" s="51">
        <v>1.8017999999999999E-2</v>
      </c>
      <c r="Q21" s="51">
        <v>1.00485E-2</v>
      </c>
      <c r="R21" s="51">
        <v>1.9453499999999999E-2</v>
      </c>
      <c r="S21" s="51">
        <v>1.0048499999999998E-2</v>
      </c>
      <c r="T21" s="51">
        <v>4.0095E-3</v>
      </c>
      <c r="U21" s="54">
        <v>3.0224347814721972</v>
      </c>
      <c r="V21" s="54">
        <v>70.525472856104784</v>
      </c>
      <c r="W21" s="54">
        <v>26.452092362423016</v>
      </c>
      <c r="X21" s="59">
        <f t="shared" si="0"/>
        <v>73.144884137271774</v>
      </c>
      <c r="Y21" s="55">
        <v>4.7802321000408714</v>
      </c>
      <c r="Z21" s="55">
        <f t="shared" si="1"/>
        <v>2.7236852937502447</v>
      </c>
      <c r="AA21" s="60"/>
    </row>
    <row r="22" spans="1:27" x14ac:dyDescent="0.25">
      <c r="A22" s="53" t="s">
        <v>159</v>
      </c>
      <c r="B22" s="50" t="s">
        <v>20</v>
      </c>
      <c r="C22" s="50" t="s">
        <v>160</v>
      </c>
      <c r="D22" s="51">
        <v>50.343934607999998</v>
      </c>
      <c r="E22" s="51">
        <v>0.145233</v>
      </c>
      <c r="F22" s="51">
        <v>0.69813429840000008</v>
      </c>
      <c r="G22" s="51">
        <v>31.579617039299997</v>
      </c>
      <c r="H22" s="51">
        <v>0.84803399999999995</v>
      </c>
      <c r="I22" s="51">
        <v>14.925487074299998</v>
      </c>
      <c r="J22" s="51">
        <v>0.85882804425000003</v>
      </c>
      <c r="K22" s="51">
        <v>1.4886471599999999E-2</v>
      </c>
      <c r="L22" s="51">
        <v>4.95E-4</v>
      </c>
      <c r="M22" s="51">
        <v>1.2276E-2</v>
      </c>
      <c r="N22" s="51">
        <v>7.7418000000000001E-2</v>
      </c>
      <c r="O22" s="51">
        <v>0</v>
      </c>
      <c r="P22" s="51">
        <v>3.4105499999999997E-2</v>
      </c>
      <c r="Q22" s="51">
        <v>1.1286000000000001E-2</v>
      </c>
      <c r="R22" s="51">
        <v>6.9794999999999996E-3</v>
      </c>
      <c r="S22" s="51">
        <v>3.1630499999999999E-2</v>
      </c>
      <c r="T22" s="51">
        <v>1.5344999999999998E-3</v>
      </c>
      <c r="U22" s="54">
        <v>1.8294335981527159</v>
      </c>
      <c r="V22" s="54">
        <v>44.235847810570121</v>
      </c>
      <c r="W22" s="54">
        <v>53.934718591277161</v>
      </c>
      <c r="X22" s="59">
        <f t="shared" si="0"/>
        <v>45.725332316861767</v>
      </c>
      <c r="Y22" s="56">
        <v>1.1361117711633628</v>
      </c>
      <c r="Z22" s="55">
        <f t="shared" si="1"/>
        <v>0.84248018953909642</v>
      </c>
      <c r="AA22" s="60"/>
    </row>
    <row r="23" spans="1:27" x14ac:dyDescent="0.25">
      <c r="A23" s="53" t="s">
        <v>161</v>
      </c>
      <c r="B23" s="50" t="s">
        <v>20</v>
      </c>
      <c r="C23" s="50" t="s">
        <v>160</v>
      </c>
      <c r="D23" s="51">
        <v>50.189999953499999</v>
      </c>
      <c r="E23" s="51">
        <v>0.26532</v>
      </c>
      <c r="F23" s="51">
        <v>0.79494251760000001</v>
      </c>
      <c r="G23" s="51">
        <v>31.746237677549999</v>
      </c>
      <c r="H23" s="51">
        <v>0.86204250000000004</v>
      </c>
      <c r="I23" s="51">
        <v>14.3963254809</v>
      </c>
      <c r="J23" s="51">
        <v>1.2376081575</v>
      </c>
      <c r="K23" s="51">
        <v>3.6972936000000001E-3</v>
      </c>
      <c r="L23" s="51">
        <v>7.5734999999999995E-3</v>
      </c>
      <c r="M23" s="51">
        <v>2.5195499999999999E-2</v>
      </c>
      <c r="N23" s="51">
        <v>1.2276000000000002E-2</v>
      </c>
      <c r="O23" s="51">
        <v>2.3764500069749998E-2</v>
      </c>
      <c r="P23" s="51">
        <v>1.0345499999999999E-2</v>
      </c>
      <c r="Q23" s="51">
        <v>5.4449999999999993E-3</v>
      </c>
      <c r="R23" s="51">
        <v>3.2174999999999999E-3</v>
      </c>
      <c r="S23" s="51">
        <v>2.4255000000000002E-2</v>
      </c>
      <c r="T23" s="51">
        <v>0</v>
      </c>
      <c r="U23" s="54">
        <v>2.6484976840468146</v>
      </c>
      <c r="V23" s="54">
        <v>42.865066357206999</v>
      </c>
      <c r="W23" s="54">
        <v>54.486435958746199</v>
      </c>
      <c r="X23" s="59">
        <f t="shared" si="0"/>
        <v>44.700856360560465</v>
      </c>
      <c r="Y23" s="56">
        <v>1.0400269659803827</v>
      </c>
      <c r="Z23" s="55">
        <f t="shared" si="1"/>
        <v>0.80834626756642347</v>
      </c>
      <c r="AA23" s="60"/>
    </row>
    <row r="24" spans="1:27" x14ac:dyDescent="0.25">
      <c r="A24" s="53" t="s">
        <v>162</v>
      </c>
      <c r="B24" s="50" t="s">
        <v>20</v>
      </c>
      <c r="C24" s="50" t="s">
        <v>160</v>
      </c>
      <c r="D24" s="51">
        <v>49.989493174499998</v>
      </c>
      <c r="E24" s="51">
        <v>0.15057900000000002</v>
      </c>
      <c r="F24" s="51">
        <v>0.85153733279999999</v>
      </c>
      <c r="G24" s="51">
        <v>31.895623415700001</v>
      </c>
      <c r="H24" s="51">
        <v>0.87877349999999999</v>
      </c>
      <c r="I24" s="51">
        <v>14.4347363523</v>
      </c>
      <c r="J24" s="51">
        <v>1.0154404754999999</v>
      </c>
      <c r="K24" s="51">
        <v>4.3783739999999998E-4</v>
      </c>
      <c r="L24" s="51">
        <v>1.10385E-2</v>
      </c>
      <c r="M24" s="51">
        <v>1.7473499999999999E-2</v>
      </c>
      <c r="N24" s="51">
        <v>0.14186699999999999</v>
      </c>
      <c r="O24" s="51">
        <v>7.4017443555000019E-3</v>
      </c>
      <c r="P24" s="51">
        <v>3.8807999999999995E-2</v>
      </c>
      <c r="Q24" s="51">
        <v>2.3611500000000001E-2</v>
      </c>
      <c r="R24" s="51">
        <v>1.1187000000000001E-2</v>
      </c>
      <c r="S24" s="51">
        <v>2.2027499999999998E-2</v>
      </c>
      <c r="T24" s="51">
        <v>1.6829999999999998E-3</v>
      </c>
      <c r="U24" s="54">
        <v>2.1748662698859782</v>
      </c>
      <c r="V24" s="54">
        <v>43.015240228702261</v>
      </c>
      <c r="W24" s="54">
        <v>54.809893501411757</v>
      </c>
      <c r="X24" s="59">
        <f t="shared" si="0"/>
        <v>44.650680977298855</v>
      </c>
      <c r="Y24" s="56">
        <v>1.0502458743562537</v>
      </c>
      <c r="Z24" s="55">
        <f t="shared" si="1"/>
        <v>0.8067069616337228</v>
      </c>
      <c r="AA24" s="60"/>
    </row>
    <row r="25" spans="1:27" x14ac:dyDescent="0.25">
      <c r="A25" s="53" t="s">
        <v>163</v>
      </c>
      <c r="B25" s="50" t="s">
        <v>20</v>
      </c>
      <c r="C25" s="50" t="s">
        <v>160</v>
      </c>
      <c r="D25" s="51">
        <v>50.299933947500001</v>
      </c>
      <c r="E25" s="51">
        <v>0.1455515</v>
      </c>
      <c r="F25" s="51">
        <v>0.76511826159999996</v>
      </c>
      <c r="G25" s="51">
        <v>31.394657086700001</v>
      </c>
      <c r="H25" s="51">
        <v>0.86317149999999998</v>
      </c>
      <c r="I25" s="51">
        <v>15.125681212699998</v>
      </c>
      <c r="J25" s="51">
        <v>0.83173619875000004</v>
      </c>
      <c r="K25" s="51">
        <v>3.2923800000000001E-3</v>
      </c>
      <c r="L25" s="51">
        <v>9.552999999999999E-3</v>
      </c>
      <c r="M25" s="51">
        <v>0</v>
      </c>
      <c r="N25" s="51">
        <v>4.8349999999999997E-2</v>
      </c>
      <c r="O25" s="51">
        <v>0</v>
      </c>
      <c r="P25" s="51">
        <v>6.0340499999999998E-2</v>
      </c>
      <c r="Q25" s="51">
        <v>5.6499999999999996E-3</v>
      </c>
      <c r="R25" s="51">
        <v>6.1254999999999999E-3</v>
      </c>
      <c r="S25" s="51">
        <v>5.2528000000000005E-2</v>
      </c>
      <c r="T25" s="51">
        <v>0</v>
      </c>
      <c r="U25" s="54">
        <v>1.767242438470626</v>
      </c>
      <c r="V25" s="54">
        <v>44.715787247956101</v>
      </c>
      <c r="W25" s="54">
        <v>53.516970313573268</v>
      </c>
      <c r="X25" s="59">
        <f t="shared" si="0"/>
        <v>46.202148686047757</v>
      </c>
      <c r="Y25" s="56">
        <v>1.1712760160857587</v>
      </c>
      <c r="Z25" s="55">
        <f t="shared" si="1"/>
        <v>0.85881029739314918</v>
      </c>
      <c r="AA25" s="60"/>
    </row>
    <row r="26" spans="1:27" x14ac:dyDescent="0.25">
      <c r="A26" s="53" t="s">
        <v>164</v>
      </c>
      <c r="B26" s="50" t="s">
        <v>21</v>
      </c>
      <c r="C26" s="50" t="s">
        <v>160</v>
      </c>
      <c r="D26" s="51">
        <v>51.002917199999999</v>
      </c>
      <c r="E26" s="51">
        <v>0.14957500000000001</v>
      </c>
      <c r="F26" s="51">
        <v>0.82108908000000003</v>
      </c>
      <c r="G26" s="51">
        <v>30.4086501325</v>
      </c>
      <c r="H26" s="51">
        <v>0.96482500000000004</v>
      </c>
      <c r="I26" s="51">
        <v>14.489628759999999</v>
      </c>
      <c r="J26" s="51">
        <v>1.1766921125000001</v>
      </c>
      <c r="K26" s="51">
        <v>2.176902E-2</v>
      </c>
      <c r="L26" s="51">
        <v>1.6250000000000001E-2</v>
      </c>
      <c r="M26" s="51">
        <v>9.3749999999999997E-3</v>
      </c>
      <c r="N26" s="51">
        <v>0.15825</v>
      </c>
      <c r="O26" s="51">
        <v>6.1436944124999976E-3</v>
      </c>
      <c r="P26" s="51">
        <v>4.2399999999999993E-2</v>
      </c>
      <c r="Q26" s="51">
        <v>9.2499999999999995E-3</v>
      </c>
      <c r="R26" s="51">
        <v>1.5474999999999999E-2</v>
      </c>
      <c r="S26" s="51">
        <v>3.9175000000000001E-2</v>
      </c>
      <c r="T26" s="51">
        <v>1.1000000000000001E-3</v>
      </c>
      <c r="U26" s="54">
        <v>2.5672465115366467</v>
      </c>
      <c r="V26" s="54">
        <v>43.984270950923531</v>
      </c>
      <c r="W26" s="54">
        <v>53.448482537539817</v>
      </c>
      <c r="X26" s="59">
        <f t="shared" si="0"/>
        <v>45.92760315829284</v>
      </c>
      <c r="Y26" s="56">
        <v>1.117999266989737</v>
      </c>
      <c r="Z26" s="55">
        <f t="shared" si="1"/>
        <v>0.84937243105280535</v>
      </c>
      <c r="AA26" s="60"/>
    </row>
    <row r="27" spans="1:27" x14ac:dyDescent="0.25">
      <c r="A27" s="53" t="s">
        <v>165</v>
      </c>
      <c r="B27" s="50" t="s">
        <v>21</v>
      </c>
      <c r="C27" s="50" t="s">
        <v>160</v>
      </c>
      <c r="D27" s="51">
        <v>50.270264900000001</v>
      </c>
      <c r="E27" s="51">
        <v>0.19159999999999999</v>
      </c>
      <c r="F27" s="51">
        <v>0.64836855999999998</v>
      </c>
      <c r="G27" s="51">
        <v>31.109915444999999</v>
      </c>
      <c r="H27" s="51">
        <v>0.97709999999999997</v>
      </c>
      <c r="I27" s="51">
        <v>14.79064408</v>
      </c>
      <c r="J27" s="51">
        <v>1.41931495</v>
      </c>
      <c r="K27" s="51">
        <v>0</v>
      </c>
      <c r="L27" s="51">
        <v>8.2500000000000004E-3</v>
      </c>
      <c r="M27" s="51">
        <v>1.15E-2</v>
      </c>
      <c r="N27" s="51">
        <v>0.10875</v>
      </c>
      <c r="O27" s="51">
        <v>2.5024146425000005E-2</v>
      </c>
      <c r="P27" s="51">
        <v>4.0849999999999997E-2</v>
      </c>
      <c r="Q27" s="51">
        <v>7.1999999999999998E-3</v>
      </c>
      <c r="R27" s="51">
        <v>5.5999999999999999E-3</v>
      </c>
      <c r="S27" s="51">
        <v>7.9500000000000001E-2</v>
      </c>
      <c r="T27" s="51">
        <v>9.8499999999999994E-3</v>
      </c>
      <c r="U27" s="54">
        <v>3.0163980542876563</v>
      </c>
      <c r="V27" s="54">
        <v>43.735326224800389</v>
      </c>
      <c r="W27" s="54">
        <v>53.248275720911948</v>
      </c>
      <c r="X27" s="59">
        <f t="shared" si="0"/>
        <v>45.872034553930447</v>
      </c>
      <c r="Y27" s="56">
        <v>1.1002902597507502</v>
      </c>
      <c r="Z27" s="55">
        <f t="shared" si="1"/>
        <v>0.84747383678470389</v>
      </c>
      <c r="AA27" s="60"/>
    </row>
    <row r="28" spans="1:27" x14ac:dyDescent="0.25">
      <c r="A28" s="53" t="s">
        <v>166</v>
      </c>
      <c r="B28" s="50" t="s">
        <v>21</v>
      </c>
      <c r="C28" s="50" t="s">
        <v>160</v>
      </c>
      <c r="D28" s="51">
        <v>49.883639946666676</v>
      </c>
      <c r="E28" s="51">
        <v>0.17366283333333335</v>
      </c>
      <c r="F28" s="51">
        <v>0.66395469093333337</v>
      </c>
      <c r="G28" s="51">
        <v>32.207197711466669</v>
      </c>
      <c r="H28" s="51">
        <v>1.1312436666666665</v>
      </c>
      <c r="I28" s="51">
        <v>13.954432231666667</v>
      </c>
      <c r="J28" s="51">
        <v>1.5310775735833335</v>
      </c>
      <c r="K28" s="51">
        <v>7.6601069999999993E-3</v>
      </c>
      <c r="L28" s="51">
        <v>1.6583333333333335E-3</v>
      </c>
      <c r="M28" s="51">
        <v>7.7941666666666671E-3</v>
      </c>
      <c r="N28" s="51">
        <v>6.5636833333333339E-2</v>
      </c>
      <c r="O28" s="51">
        <v>0</v>
      </c>
      <c r="P28" s="51">
        <v>4.1132833333333334E-2</v>
      </c>
      <c r="Q28" s="51">
        <v>3.3190000000000003E-3</v>
      </c>
      <c r="R28" s="51">
        <v>0</v>
      </c>
      <c r="S28" s="51">
        <v>5.2061666666666666E-2</v>
      </c>
      <c r="T28" s="51">
        <v>0</v>
      </c>
      <c r="U28" s="54">
        <v>3.2590030616508918</v>
      </c>
      <c r="V28" s="54">
        <v>41.327121155572947</v>
      </c>
      <c r="W28" s="54">
        <v>55.413875782776159</v>
      </c>
      <c r="X28" s="59">
        <f t="shared" si="0"/>
        <v>43.576780377206433</v>
      </c>
      <c r="Y28" s="56">
        <v>0.93957108526525945</v>
      </c>
      <c r="Z28" s="55">
        <f t="shared" si="1"/>
        <v>0.77231998933294665</v>
      </c>
      <c r="AA28" s="60"/>
    </row>
    <row r="29" spans="1:27" x14ac:dyDescent="0.25">
      <c r="A29" s="53" t="s">
        <v>167</v>
      </c>
      <c r="B29" s="50" t="s">
        <v>21</v>
      </c>
      <c r="C29" s="50" t="s">
        <v>160</v>
      </c>
      <c r="D29" s="51">
        <v>52.811197649999997</v>
      </c>
      <c r="E29" s="51">
        <v>0.1027</v>
      </c>
      <c r="F29" s="51">
        <v>1.2564663999999999</v>
      </c>
      <c r="G29" s="51">
        <v>26.268304255</v>
      </c>
      <c r="H29" s="51">
        <v>0.64555000000000007</v>
      </c>
      <c r="I29" s="51">
        <v>14.536706039999999</v>
      </c>
      <c r="J29" s="51">
        <v>1.35992355</v>
      </c>
      <c r="K29" s="51">
        <v>7.7837760000000006E-2</v>
      </c>
      <c r="L29" s="51">
        <v>2.5700000000000001E-2</v>
      </c>
      <c r="M29" s="51">
        <v>0</v>
      </c>
      <c r="N29" s="51">
        <v>0.13835</v>
      </c>
      <c r="O29" s="51">
        <v>2.0097960424999999E-2</v>
      </c>
      <c r="P29" s="51">
        <v>3.9550000000000002E-2</v>
      </c>
      <c r="Q29" s="51">
        <v>8.0000000000000004E-4</v>
      </c>
      <c r="R29" s="51">
        <v>6.0500000000000007E-3</v>
      </c>
      <c r="S29" s="51">
        <v>9.1299999999999992E-2</v>
      </c>
      <c r="T29" s="51">
        <v>0</v>
      </c>
      <c r="U29" s="54">
        <v>3.1923530366641275</v>
      </c>
      <c r="V29" s="54">
        <v>47.478592531819885</v>
      </c>
      <c r="W29" s="54">
        <v>49.329054431515992</v>
      </c>
      <c r="X29" s="59">
        <f t="shared" si="0"/>
        <v>49.658763006765142</v>
      </c>
      <c r="Y29" s="56">
        <v>1.3900012302104048</v>
      </c>
      <c r="Z29" s="55">
        <f t="shared" si="1"/>
        <v>0.98644304297565366</v>
      </c>
      <c r="AA29" s="60"/>
    </row>
    <row r="30" spans="1:27" x14ac:dyDescent="0.25">
      <c r="A30" s="53" t="s">
        <v>168</v>
      </c>
      <c r="B30" s="50" t="s">
        <v>21</v>
      </c>
      <c r="C30" s="50" t="s">
        <v>160</v>
      </c>
      <c r="D30" s="51">
        <v>52.749060450000002</v>
      </c>
      <c r="E30" s="51">
        <v>0.10345</v>
      </c>
      <c r="F30" s="51">
        <v>1.32130824</v>
      </c>
      <c r="G30" s="51">
        <v>26.572458429999998</v>
      </c>
      <c r="H30" s="51">
        <v>0.69599999999999995</v>
      </c>
      <c r="I30" s="51">
        <v>14.635149420000001</v>
      </c>
      <c r="J30" s="51">
        <v>1.1927606750000002</v>
      </c>
      <c r="K30" s="51">
        <v>7.7002379999999995E-2</v>
      </c>
      <c r="L30" s="51">
        <v>4.6549999999999994E-2</v>
      </c>
      <c r="M30" s="51">
        <v>2.1950000000000001E-2</v>
      </c>
      <c r="N30" s="51">
        <v>0.14634999999999998</v>
      </c>
      <c r="O30" s="51">
        <v>0</v>
      </c>
      <c r="P30" s="51">
        <v>3.4449999999999995E-2</v>
      </c>
      <c r="Q30" s="51">
        <v>0</v>
      </c>
      <c r="R30" s="51">
        <v>1.43E-2</v>
      </c>
      <c r="S30" s="51">
        <v>3.585E-2</v>
      </c>
      <c r="T30" s="51">
        <v>2.4499999999999999E-3</v>
      </c>
      <c r="U30" s="54">
        <v>2.7837993471399352</v>
      </c>
      <c r="V30" s="54">
        <v>47.524459533393241</v>
      </c>
      <c r="W30" s="54">
        <v>49.691741119466826</v>
      </c>
      <c r="X30" s="59">
        <f t="shared" si="0"/>
        <v>49.539695640440215</v>
      </c>
      <c r="Y30" s="56">
        <v>1.3938768831351722</v>
      </c>
      <c r="Z30" s="55">
        <f t="shared" si="1"/>
        <v>0.98175578346575776</v>
      </c>
      <c r="AA30" s="60"/>
    </row>
    <row r="31" spans="1:27" x14ac:dyDescent="0.25">
      <c r="A31" s="53" t="s">
        <v>169</v>
      </c>
      <c r="B31" s="50" t="s">
        <v>21</v>
      </c>
      <c r="C31" s="50" t="s">
        <v>160</v>
      </c>
      <c r="D31" s="51">
        <v>52.626740049999995</v>
      </c>
      <c r="E31" s="51">
        <v>1.315E-2</v>
      </c>
      <c r="F31" s="51">
        <v>0.91650776</v>
      </c>
      <c r="G31" s="51">
        <v>26.62961627</v>
      </c>
      <c r="H31" s="51">
        <v>0.68880000000000008</v>
      </c>
      <c r="I31" s="51">
        <v>14.975661779999999</v>
      </c>
      <c r="J31" s="51">
        <v>0.94268900000000011</v>
      </c>
      <c r="K31" s="51">
        <v>7.1596980000000005E-2</v>
      </c>
      <c r="L31" s="51">
        <v>2.775E-2</v>
      </c>
      <c r="M31" s="51">
        <v>0</v>
      </c>
      <c r="N31" s="51">
        <v>7.9399999999999998E-2</v>
      </c>
      <c r="O31" s="51">
        <v>0</v>
      </c>
      <c r="P31" s="51">
        <v>3.8100000000000002E-2</v>
      </c>
      <c r="Q31" s="51">
        <v>2.0000000000000001E-4</v>
      </c>
      <c r="R31" s="51">
        <v>1.5499999999999999E-3</v>
      </c>
      <c r="S31" s="51">
        <v>4.0849999999999997E-2</v>
      </c>
      <c r="T31" s="51">
        <v>6.1999999999999998E-3</v>
      </c>
      <c r="U31" s="54">
        <v>2.1867504980503658</v>
      </c>
      <c r="V31" s="54">
        <v>48.333943163996459</v>
      </c>
      <c r="W31" s="54">
        <v>49.479306337953176</v>
      </c>
      <c r="X31" s="59">
        <f t="shared" si="0"/>
        <v>50.060970042501964</v>
      </c>
      <c r="Y31" s="56">
        <v>1.4636523875821754</v>
      </c>
      <c r="Z31" s="55">
        <f t="shared" si="1"/>
        <v>1.00244177920772</v>
      </c>
      <c r="AA31" s="60"/>
    </row>
    <row r="32" spans="1:27" x14ac:dyDescent="0.25">
      <c r="A32" s="53" t="s">
        <v>170</v>
      </c>
      <c r="B32" s="50" t="s">
        <v>21</v>
      </c>
      <c r="C32" s="50" t="s">
        <v>160</v>
      </c>
      <c r="D32" s="51">
        <v>50.12229825</v>
      </c>
      <c r="E32" s="51">
        <v>0.14069999999999999</v>
      </c>
      <c r="F32" s="51">
        <v>0.69038368000000006</v>
      </c>
      <c r="G32" s="51">
        <v>31.482799909999997</v>
      </c>
      <c r="H32" s="51">
        <v>0.83705000000000007</v>
      </c>
      <c r="I32" s="51">
        <v>15.08657266</v>
      </c>
      <c r="J32" s="51">
        <v>0.89734825000000007</v>
      </c>
      <c r="K32" s="51">
        <v>1.3955760000000001E-2</v>
      </c>
      <c r="L32" s="51">
        <v>7.45E-3</v>
      </c>
      <c r="M32" s="51">
        <v>1.21E-2</v>
      </c>
      <c r="N32" s="51">
        <v>6.8349999999999994E-2</v>
      </c>
      <c r="O32" s="51">
        <v>1.8116552625000011E-2</v>
      </c>
      <c r="P32" s="51">
        <v>7.0599999999999996E-2</v>
      </c>
      <c r="Q32" s="51">
        <v>7.4000000000000003E-3</v>
      </c>
      <c r="R32" s="51">
        <v>1.5299999999999999E-2</v>
      </c>
      <c r="S32" s="51">
        <v>8.2650000000000001E-2</v>
      </c>
      <c r="T32" s="51">
        <v>2.5999999999999999E-3</v>
      </c>
      <c r="U32" s="54">
        <v>1.9042512275153693</v>
      </c>
      <c r="V32" s="54">
        <v>44.54400086679717</v>
      </c>
      <c r="W32" s="54">
        <v>53.551747905687463</v>
      </c>
      <c r="X32" s="59">
        <f t="shared" si="0"/>
        <v>46.068140224293664</v>
      </c>
      <c r="Y32" s="56">
        <v>1.1585968338673074</v>
      </c>
      <c r="Z32" s="55">
        <f t="shared" si="1"/>
        <v>0.85419157462552586</v>
      </c>
      <c r="AA32" s="60"/>
    </row>
    <row r="33" spans="1:27" x14ac:dyDescent="0.25">
      <c r="A33" s="53" t="s">
        <v>171</v>
      </c>
      <c r="B33" s="50" t="s">
        <v>40</v>
      </c>
      <c r="C33" s="50" t="s">
        <v>160</v>
      </c>
      <c r="D33" s="51">
        <v>51.722135749999993</v>
      </c>
      <c r="E33" s="51">
        <v>0.11705</v>
      </c>
      <c r="F33" s="51">
        <v>1.531334</v>
      </c>
      <c r="G33" s="51">
        <v>25.431465175</v>
      </c>
      <c r="H33" s="51">
        <v>0.54059999999999997</v>
      </c>
      <c r="I33" s="51">
        <v>19.57711681</v>
      </c>
      <c r="J33" s="51">
        <v>0.70881044999999998</v>
      </c>
      <c r="K33" s="51">
        <v>0</v>
      </c>
      <c r="L33" s="51">
        <v>6.0499999999999998E-3</v>
      </c>
      <c r="M33" s="51">
        <v>1.065E-2</v>
      </c>
      <c r="N33" s="51">
        <v>0.14724999999999999</v>
      </c>
      <c r="O33" s="51">
        <v>8.9583819250000016E-3</v>
      </c>
      <c r="P33" s="51">
        <v>3.925E-2</v>
      </c>
      <c r="Q33" s="51">
        <v>8.3999999999999995E-3</v>
      </c>
      <c r="R33" s="51">
        <v>1.0950000000000001E-2</v>
      </c>
      <c r="S33" s="51">
        <v>3.6250000000000004E-2</v>
      </c>
      <c r="T33" s="51">
        <v>7.7999999999999996E-3</v>
      </c>
      <c r="U33" s="54">
        <v>1.4697956603340516</v>
      </c>
      <c r="V33" s="54">
        <v>56.482120162867375</v>
      </c>
      <c r="W33" s="54">
        <v>42.048084176798589</v>
      </c>
      <c r="X33" s="59">
        <f t="shared" si="0"/>
        <v>57.844924900023628</v>
      </c>
      <c r="Y33" s="56">
        <v>2.3294999405749941</v>
      </c>
      <c r="Z33" s="55">
        <f t="shared" si="1"/>
        <v>1.3721936151895515</v>
      </c>
      <c r="AA33" s="60"/>
    </row>
    <row r="34" spans="1:27" x14ac:dyDescent="0.25">
      <c r="A34" s="53" t="s">
        <v>172</v>
      </c>
      <c r="B34" s="50" t="s">
        <v>40</v>
      </c>
      <c r="C34" s="50" t="s">
        <v>160</v>
      </c>
      <c r="D34" s="51">
        <v>51.375349599999993</v>
      </c>
      <c r="E34" s="51">
        <v>7.3749999999999996E-2</v>
      </c>
      <c r="F34" s="51">
        <v>1.0594987200000001</v>
      </c>
      <c r="G34" s="51">
        <v>26.044855339999998</v>
      </c>
      <c r="H34" s="51">
        <v>0.57840000000000003</v>
      </c>
      <c r="I34" s="51">
        <v>19.248872470000002</v>
      </c>
      <c r="J34" s="51">
        <v>0.59570769999999995</v>
      </c>
      <c r="K34" s="51">
        <v>1.071252E-2</v>
      </c>
      <c r="L34" s="51">
        <v>1.925E-2</v>
      </c>
      <c r="M34" s="51">
        <v>2.65E-3</v>
      </c>
      <c r="N34" s="51">
        <v>7.5649999999999995E-2</v>
      </c>
      <c r="O34" s="51">
        <v>0</v>
      </c>
      <c r="P34" s="51">
        <v>2.5350000000000001E-2</v>
      </c>
      <c r="Q34" s="51">
        <v>1.4149999999999999E-2</v>
      </c>
      <c r="R34" s="51">
        <v>8.3499999999999998E-3</v>
      </c>
      <c r="S34" s="51">
        <v>1.5199999999999998E-2</v>
      </c>
      <c r="T34" s="51">
        <v>5.5499999999999994E-3</v>
      </c>
      <c r="U34" s="54">
        <v>1.2368329777660223</v>
      </c>
      <c r="V34" s="54">
        <v>55.605602020678525</v>
      </c>
      <c r="W34" s="54">
        <v>43.157565001555454</v>
      </c>
      <c r="X34" s="59">
        <f t="shared" si="0"/>
        <v>56.848402647237435</v>
      </c>
      <c r="Y34" s="56">
        <v>2.2205082668745728</v>
      </c>
      <c r="Z34" s="55">
        <f t="shared" si="1"/>
        <v>1.3174113157968186</v>
      </c>
      <c r="AA34" s="60"/>
    </row>
    <row r="35" spans="1:27" x14ac:dyDescent="0.25">
      <c r="A35" s="53" t="s">
        <v>173</v>
      </c>
      <c r="B35" s="50" t="s">
        <v>40</v>
      </c>
      <c r="C35" s="50" t="s">
        <v>160</v>
      </c>
      <c r="D35" s="51">
        <v>51.551111899999995</v>
      </c>
      <c r="E35" s="51">
        <v>0.10290000000000001</v>
      </c>
      <c r="F35" s="51">
        <v>1.9298048000000001</v>
      </c>
      <c r="G35" s="51">
        <v>25.630058479999999</v>
      </c>
      <c r="H35" s="51">
        <v>0.5111</v>
      </c>
      <c r="I35" s="51">
        <v>19.303081159999998</v>
      </c>
      <c r="J35" s="51">
        <v>0.58693850000000003</v>
      </c>
      <c r="K35" s="51">
        <v>0</v>
      </c>
      <c r="L35" s="51">
        <v>4.0499999999999998E-3</v>
      </c>
      <c r="M35" s="51">
        <v>1.005E-2</v>
      </c>
      <c r="N35" s="51">
        <v>0</v>
      </c>
      <c r="O35" s="51">
        <v>1.3575698249999948E-3</v>
      </c>
      <c r="P35" s="51">
        <v>1.7299999999999999E-2</v>
      </c>
      <c r="Q35" s="51">
        <v>8.3499999999999998E-3</v>
      </c>
      <c r="R35" s="51">
        <v>1.805E-2</v>
      </c>
      <c r="S35" s="51">
        <v>1.9099999999999999E-2</v>
      </c>
      <c r="T35" s="51">
        <v>0</v>
      </c>
      <c r="U35" s="54">
        <v>1.2265283939883334</v>
      </c>
      <c r="V35" s="54">
        <v>56.123798231078297</v>
      </c>
      <c r="W35" s="54">
        <v>42.649673374933364</v>
      </c>
      <c r="X35" s="59">
        <f t="shared" si="0"/>
        <v>57.310610086132698</v>
      </c>
      <c r="Y35" s="56">
        <v>2.2844339054794403</v>
      </c>
      <c r="Z35" s="55">
        <f t="shared" si="1"/>
        <v>1.3425024391720302</v>
      </c>
      <c r="AA35" s="60"/>
    </row>
    <row r="36" spans="1:27" x14ac:dyDescent="0.25">
      <c r="A36" s="53" t="s">
        <v>174</v>
      </c>
      <c r="B36" s="50" t="s">
        <v>40</v>
      </c>
      <c r="C36" s="50" t="s">
        <v>160</v>
      </c>
      <c r="D36" s="51">
        <v>50.789312433333329</v>
      </c>
      <c r="E36" s="51">
        <v>7.8933333333333341E-2</v>
      </c>
      <c r="F36" s="51">
        <v>1.2183221866666667</v>
      </c>
      <c r="G36" s="51">
        <v>27.832513746666667</v>
      </c>
      <c r="H36" s="51">
        <v>0.53843333333333343</v>
      </c>
      <c r="I36" s="51">
        <v>18.032593039999998</v>
      </c>
      <c r="J36" s="51">
        <v>0.61849433333333337</v>
      </c>
      <c r="K36" s="51">
        <v>3.8329200000000001E-3</v>
      </c>
      <c r="L36" s="51">
        <v>1.1766666666666667E-2</v>
      </c>
      <c r="M36" s="51">
        <v>1.3333333333333333E-3</v>
      </c>
      <c r="N36" s="51">
        <v>0.15869999999999998</v>
      </c>
      <c r="O36" s="51">
        <v>3.0698100550000006E-2</v>
      </c>
      <c r="P36" s="51">
        <v>2.1600000000000005E-2</v>
      </c>
      <c r="Q36" s="51">
        <v>1.1999999999999999E-3</v>
      </c>
      <c r="R36" s="51">
        <v>8.4333333333333326E-3</v>
      </c>
      <c r="S36" s="51">
        <v>3.323333333333333E-2</v>
      </c>
      <c r="T36" s="51">
        <v>9.0000000000000008E-4</v>
      </c>
      <c r="U36" s="54">
        <v>1.2923469066430275</v>
      </c>
      <c r="V36" s="54">
        <v>52.424823086954376</v>
      </c>
      <c r="W36" s="54">
        <v>46.282830006402584</v>
      </c>
      <c r="X36" s="59">
        <f t="shared" si="0"/>
        <v>53.594100620641171</v>
      </c>
      <c r="Y36" s="56">
        <v>1.8587796983275859</v>
      </c>
      <c r="Z36" s="55">
        <f t="shared" si="1"/>
        <v>1.1548984361346013</v>
      </c>
      <c r="AA36" s="60"/>
    </row>
    <row r="37" spans="1:27" x14ac:dyDescent="0.25">
      <c r="A37" s="53" t="s">
        <v>175</v>
      </c>
      <c r="B37" s="50" t="s">
        <v>40</v>
      </c>
      <c r="C37" s="50" t="s">
        <v>160</v>
      </c>
      <c r="D37" s="51">
        <v>51.72027945</v>
      </c>
      <c r="E37" s="51">
        <v>0.12970000000000001</v>
      </c>
      <c r="F37" s="51">
        <v>1.3773782400000001</v>
      </c>
      <c r="G37" s="51">
        <v>26.544533604999998</v>
      </c>
      <c r="H37" s="51">
        <v>0.56024999999999991</v>
      </c>
      <c r="I37" s="51">
        <v>18.656566479999999</v>
      </c>
      <c r="J37" s="51">
        <v>0.6443369000000001</v>
      </c>
      <c r="K37" s="51">
        <v>0</v>
      </c>
      <c r="L37" s="51">
        <v>9.1999999999999998E-3</v>
      </c>
      <c r="M37" s="51">
        <v>2.325E-2</v>
      </c>
      <c r="N37" s="51">
        <v>8.7800000000000003E-2</v>
      </c>
      <c r="O37" s="51">
        <v>0</v>
      </c>
      <c r="P37" s="51">
        <v>1.34E-2</v>
      </c>
      <c r="Q37" s="51">
        <v>8.6499999999999997E-3</v>
      </c>
      <c r="R37" s="51">
        <v>0</v>
      </c>
      <c r="S37" s="51">
        <v>4.6249999999999999E-2</v>
      </c>
      <c r="T37" s="51">
        <v>2.2000000000000001E-3</v>
      </c>
      <c r="U37" s="54">
        <v>1.3489967314962641</v>
      </c>
      <c r="V37" s="54">
        <v>54.345679517710053</v>
      </c>
      <c r="W37" s="54">
        <v>44.305323750793683</v>
      </c>
      <c r="X37" s="59">
        <f t="shared" si="0"/>
        <v>55.611529828775531</v>
      </c>
      <c r="Y37" s="56">
        <v>2.0710660177498106</v>
      </c>
      <c r="Z37" s="55">
        <f t="shared" si="1"/>
        <v>1.2528372709007347</v>
      </c>
      <c r="AA37" s="60"/>
    </row>
    <row r="38" spans="1:27" x14ac:dyDescent="0.25">
      <c r="A38" s="53" t="s">
        <v>176</v>
      </c>
      <c r="B38" s="50" t="s">
        <v>40</v>
      </c>
      <c r="C38" s="50" t="s">
        <v>160</v>
      </c>
      <c r="D38" s="51">
        <v>51.920711000000004</v>
      </c>
      <c r="E38" s="51">
        <v>0.12263333333333333</v>
      </c>
      <c r="F38" s="51">
        <v>1.1792144000000002</v>
      </c>
      <c r="G38" s="51">
        <v>25.016349653333332</v>
      </c>
      <c r="H38" s="51">
        <v>0.58146666666666669</v>
      </c>
      <c r="I38" s="51">
        <v>20.099804280000001</v>
      </c>
      <c r="J38" s="51">
        <v>0.84264040000000007</v>
      </c>
      <c r="K38" s="51">
        <v>0</v>
      </c>
      <c r="L38" s="51">
        <v>7.966666666666667E-3</v>
      </c>
      <c r="M38" s="51">
        <v>1.1133333333333334E-2</v>
      </c>
      <c r="N38" s="51">
        <v>2.24E-2</v>
      </c>
      <c r="O38" s="51">
        <v>9.913105366666666E-3</v>
      </c>
      <c r="P38" s="51">
        <v>3.1800000000000002E-2</v>
      </c>
      <c r="Q38" s="51">
        <v>2.6666666666666668E-4</v>
      </c>
      <c r="R38" s="51">
        <v>1.1766666666666667E-2</v>
      </c>
      <c r="S38" s="51">
        <v>6.6266666666666668E-2</v>
      </c>
      <c r="T38" s="51">
        <v>0</v>
      </c>
      <c r="U38" s="54">
        <v>1.72691814106283</v>
      </c>
      <c r="V38" s="54">
        <v>57.313471177794995</v>
      </c>
      <c r="W38" s="54">
        <v>40.959610681142181</v>
      </c>
      <c r="X38" s="59">
        <f t="shared" si="0"/>
        <v>58.885086363539699</v>
      </c>
      <c r="Y38" s="56">
        <v>2.4368375872654946</v>
      </c>
      <c r="Z38" s="55">
        <f t="shared" si="1"/>
        <v>1.4322074681757566</v>
      </c>
      <c r="AA38" s="60"/>
    </row>
    <row r="39" spans="1:27" x14ac:dyDescent="0.25">
      <c r="A39" s="53" t="s">
        <v>177</v>
      </c>
      <c r="B39" s="50" t="s">
        <v>40</v>
      </c>
      <c r="C39" s="50" t="s">
        <v>160</v>
      </c>
      <c r="D39" s="51">
        <v>51.6230191</v>
      </c>
      <c r="E39" s="51">
        <v>0.15889999999999999</v>
      </c>
      <c r="F39" s="51">
        <v>1.4880230399999999</v>
      </c>
      <c r="G39" s="51">
        <v>23.729610614999999</v>
      </c>
      <c r="H39" s="51">
        <v>0.48785000000000001</v>
      </c>
      <c r="I39" s="51">
        <v>20.868699939999999</v>
      </c>
      <c r="J39" s="51">
        <v>0.89186750000000004</v>
      </c>
      <c r="K39" s="51">
        <v>0</v>
      </c>
      <c r="L39" s="51">
        <v>1.265E-2</v>
      </c>
      <c r="M39" s="51">
        <v>2.085E-2</v>
      </c>
      <c r="N39" s="51">
        <v>0.1686</v>
      </c>
      <c r="O39" s="51">
        <v>0</v>
      </c>
      <c r="P39" s="51">
        <v>4.8500000000000001E-3</v>
      </c>
      <c r="Q39" s="51">
        <v>1.4749999999999999E-2</v>
      </c>
      <c r="R39" s="51">
        <v>1.3050000000000001E-2</v>
      </c>
      <c r="S39" s="51">
        <v>4.7899999999999998E-2</v>
      </c>
      <c r="T39" s="51">
        <v>7.1000000000000004E-3</v>
      </c>
      <c r="U39" s="54">
        <v>1.826282766543293</v>
      </c>
      <c r="V39" s="54">
        <v>59.456383125650298</v>
      </c>
      <c r="W39" s="54">
        <v>38.717334107806415</v>
      </c>
      <c r="X39" s="59">
        <f t="shared" si="0"/>
        <v>61.053538108840236</v>
      </c>
      <c r="Y39" s="56">
        <v>2.7322341656710778</v>
      </c>
      <c r="Z39" s="55">
        <f t="shared" si="1"/>
        <v>1.5676273310644022</v>
      </c>
      <c r="AA39" s="60"/>
    </row>
    <row r="40" spans="1:27" x14ac:dyDescent="0.25">
      <c r="A40" s="53" t="s">
        <v>178</v>
      </c>
      <c r="B40" s="50" t="s">
        <v>40</v>
      </c>
      <c r="C40" s="50" t="s">
        <v>160</v>
      </c>
      <c r="D40" s="51">
        <v>51.977474699999995</v>
      </c>
      <c r="E40" s="51">
        <v>0.18579999999999999</v>
      </c>
      <c r="F40" s="51">
        <v>1.7565609600000001</v>
      </c>
      <c r="G40" s="51">
        <v>24.473819779999999</v>
      </c>
      <c r="H40" s="51">
        <v>0.60270000000000001</v>
      </c>
      <c r="I40" s="51">
        <v>20.186478340000001</v>
      </c>
      <c r="J40" s="51">
        <v>0.76102705000000004</v>
      </c>
      <c r="K40" s="51">
        <v>0</v>
      </c>
      <c r="L40" s="51">
        <v>0</v>
      </c>
      <c r="M40" s="51">
        <v>6.7000000000000002E-3</v>
      </c>
      <c r="N40" s="51">
        <v>0</v>
      </c>
      <c r="O40" s="51">
        <v>0</v>
      </c>
      <c r="P40" s="51">
        <v>5.5999999999999999E-3</v>
      </c>
      <c r="Q40" s="51">
        <v>0</v>
      </c>
      <c r="R40" s="51">
        <v>9.1000000000000004E-3</v>
      </c>
      <c r="S40" s="51">
        <v>1.9300000000000001E-2</v>
      </c>
      <c r="T40" s="51">
        <v>8.8999999999999999E-3</v>
      </c>
      <c r="U40" s="54">
        <v>1.5715011203653062</v>
      </c>
      <c r="V40" s="54">
        <v>57.997673225197765</v>
      </c>
      <c r="W40" s="54">
        <v>40.430825654436916</v>
      </c>
      <c r="X40" s="59">
        <f t="shared" si="0"/>
        <v>59.518581292709946</v>
      </c>
      <c r="Y40" s="56">
        <v>2.5281631359856318</v>
      </c>
      <c r="Z40" s="55">
        <f t="shared" si="1"/>
        <v>1.4702691554135578</v>
      </c>
      <c r="AA40" s="60"/>
    </row>
    <row r="41" spans="1:27" x14ac:dyDescent="0.25">
      <c r="A41" s="53" t="s">
        <v>179</v>
      </c>
      <c r="B41" s="50" t="s">
        <v>43</v>
      </c>
      <c r="C41" s="50" t="s">
        <v>160</v>
      </c>
      <c r="D41" s="51">
        <v>49.797820266666662</v>
      </c>
      <c r="E41" s="51">
        <v>0.12713333333333332</v>
      </c>
      <c r="F41" s="51">
        <v>0.9681253866666667</v>
      </c>
      <c r="G41" s="51">
        <v>26.805920029999999</v>
      </c>
      <c r="H41" s="51">
        <v>1.0530333333333333</v>
      </c>
      <c r="I41" s="51">
        <v>18.265053733333332</v>
      </c>
      <c r="J41" s="51">
        <v>0.71578595000000023</v>
      </c>
      <c r="K41" s="51">
        <v>7.89516E-3</v>
      </c>
      <c r="L41" s="51">
        <v>1.5900000000000001E-2</v>
      </c>
      <c r="M41" s="51">
        <v>1.4566666666666667E-2</v>
      </c>
      <c r="N41" s="51">
        <v>0</v>
      </c>
      <c r="O41" s="51">
        <v>8.8141886499999988E-3</v>
      </c>
      <c r="P41" s="51">
        <v>6.0566666666666664E-2</v>
      </c>
      <c r="Q41" s="51">
        <v>2.8666666666666667E-3</v>
      </c>
      <c r="R41" s="51">
        <v>1.1500000000000002E-2</v>
      </c>
      <c r="S41" s="51">
        <v>6.0200000000000004E-2</v>
      </c>
      <c r="T41" s="51">
        <v>4.0000000000000001E-3</v>
      </c>
      <c r="U41" s="54">
        <v>1.4948190943303685</v>
      </c>
      <c r="V41" s="54">
        <v>53.07155720648278</v>
      </c>
      <c r="W41" s="54">
        <v>45.43362369918686</v>
      </c>
      <c r="X41" s="59">
        <f t="shared" si="0"/>
        <v>54.844833844594746</v>
      </c>
      <c r="Y41" s="56">
        <v>1.9282259929476202</v>
      </c>
      <c r="Z41" s="55">
        <f t="shared" si="1"/>
        <v>1.2145860266761437</v>
      </c>
      <c r="AA41" s="60"/>
    </row>
    <row r="42" spans="1:27" x14ac:dyDescent="0.25">
      <c r="A42" s="53" t="s">
        <v>180</v>
      </c>
      <c r="B42" s="50" t="s">
        <v>43</v>
      </c>
      <c r="C42" s="50" t="s">
        <v>160</v>
      </c>
      <c r="D42" s="51">
        <v>51.300739366666654</v>
      </c>
      <c r="E42" s="51">
        <v>0.12513333333333335</v>
      </c>
      <c r="F42" s="51">
        <v>0.78062730666666669</v>
      </c>
      <c r="G42" s="51">
        <v>26.151556683333329</v>
      </c>
      <c r="H42" s="51">
        <v>0.68143333333333322</v>
      </c>
      <c r="I42" s="51">
        <v>18.856245959999999</v>
      </c>
      <c r="J42" s="51">
        <v>1.3819462</v>
      </c>
      <c r="K42" s="51">
        <v>3.0139199999999998E-3</v>
      </c>
      <c r="L42" s="51">
        <v>6.4999999999999997E-3</v>
      </c>
      <c r="M42" s="51">
        <v>1.0199999999999999E-2</v>
      </c>
      <c r="N42" s="51">
        <v>8.3900000000000016E-2</v>
      </c>
      <c r="O42" s="51">
        <v>2.1974351116666669E-2</v>
      </c>
      <c r="P42" s="51">
        <v>1.9300000000000001E-2</v>
      </c>
      <c r="Q42" s="51">
        <v>7.3333333333333334E-4</v>
      </c>
      <c r="R42" s="51">
        <v>1.6666666666666668E-3</v>
      </c>
      <c r="S42" s="51">
        <v>5.6933333333333336E-2</v>
      </c>
      <c r="T42" s="51">
        <v>6.966666666666667E-3</v>
      </c>
      <c r="U42" s="54">
        <v>2.845346093963744</v>
      </c>
      <c r="V42" s="54">
        <v>54.01751573488098</v>
      </c>
      <c r="W42" s="54">
        <v>43.137138171155271</v>
      </c>
      <c r="X42" s="59">
        <f t="shared" si="0"/>
        <v>56.241571631690171</v>
      </c>
      <c r="Y42" s="56">
        <v>2.0334958417618978</v>
      </c>
      <c r="Z42" s="55">
        <f t="shared" si="1"/>
        <v>1.2852740312862954</v>
      </c>
      <c r="AA42" s="60"/>
    </row>
    <row r="43" spans="1:27" x14ac:dyDescent="0.25">
      <c r="A43" s="53" t="s">
        <v>181</v>
      </c>
      <c r="B43" s="50" t="s">
        <v>43</v>
      </c>
      <c r="C43" s="50" t="s">
        <v>160</v>
      </c>
      <c r="D43" s="51">
        <v>52.955197679999991</v>
      </c>
      <c r="E43" s="51">
        <v>3.8419999999999996E-2</v>
      </c>
      <c r="F43" s="51">
        <v>1.7110670080000001</v>
      </c>
      <c r="G43" s="51">
        <v>22.147596321999998</v>
      </c>
      <c r="H43" s="51">
        <v>0.59499999999999997</v>
      </c>
      <c r="I43" s="51">
        <v>17.396491215999998</v>
      </c>
      <c r="J43" s="51">
        <v>1.50084858</v>
      </c>
      <c r="K43" s="51">
        <v>0.18032414399999999</v>
      </c>
      <c r="L43" s="51">
        <v>4.4399999999999995E-2</v>
      </c>
      <c r="M43" s="51">
        <v>1.1580000000000002E-2</v>
      </c>
      <c r="N43" s="51">
        <v>4.7459999999999995E-2</v>
      </c>
      <c r="O43" s="51">
        <v>3.4187054900000013E-3</v>
      </c>
      <c r="P43" s="51">
        <v>2.5380000000000003E-2</v>
      </c>
      <c r="Q43" s="51">
        <v>2.4200000000000003E-3</v>
      </c>
      <c r="R43" s="51">
        <v>1.4780000000000001E-2</v>
      </c>
      <c r="S43" s="51">
        <v>6.788000000000001E-2</v>
      </c>
      <c r="T43" s="51">
        <v>3.2199999999999998E-3</v>
      </c>
      <c r="U43" s="54">
        <v>3.4531690844169107</v>
      </c>
      <c r="V43" s="54">
        <v>55.690105012755936</v>
      </c>
      <c r="W43" s="54">
        <v>40.856725902827158</v>
      </c>
      <c r="X43" s="59">
        <f t="shared" si="0"/>
        <v>58.335855746931102</v>
      </c>
      <c r="Y43" s="56">
        <v>2.2308330829282346</v>
      </c>
      <c r="Z43" s="55">
        <f t="shared" si="1"/>
        <v>1.4001452998193815</v>
      </c>
      <c r="AA43" s="60"/>
    </row>
    <row r="44" spans="1:27" x14ac:dyDescent="0.25">
      <c r="A44" s="53" t="s">
        <v>182</v>
      </c>
      <c r="B44" s="50" t="s">
        <v>43</v>
      </c>
      <c r="C44" s="50" t="s">
        <v>160</v>
      </c>
      <c r="D44" s="51">
        <v>51.809626099999996</v>
      </c>
      <c r="E44" s="51">
        <v>0.20810000000000001</v>
      </c>
      <c r="F44" s="51">
        <v>1.1047534400000001</v>
      </c>
      <c r="G44" s="51">
        <v>24.886704669999997</v>
      </c>
      <c r="H44" s="51">
        <v>0.60270000000000001</v>
      </c>
      <c r="I44" s="51">
        <v>19.3306094</v>
      </c>
      <c r="J44" s="51">
        <v>1.5075052</v>
      </c>
      <c r="K44" s="51">
        <v>2.9385720000000001E-2</v>
      </c>
      <c r="L44" s="51">
        <v>1.55E-2</v>
      </c>
      <c r="M44" s="51">
        <v>0</v>
      </c>
      <c r="N44" s="51">
        <v>0.1769</v>
      </c>
      <c r="O44" s="51">
        <v>0</v>
      </c>
      <c r="P44" s="51">
        <v>0</v>
      </c>
      <c r="Q44" s="51">
        <v>1.5699999999999999E-2</v>
      </c>
      <c r="R44" s="51">
        <v>2.07E-2</v>
      </c>
      <c r="S44" s="51">
        <v>6.6900000000000001E-2</v>
      </c>
      <c r="T44" s="51">
        <v>8.0000000000000002E-3</v>
      </c>
      <c r="U44" s="54">
        <v>3.1208250472543861</v>
      </c>
      <c r="V44" s="54">
        <v>55.679016925585174</v>
      </c>
      <c r="W44" s="54">
        <v>41.200158027160441</v>
      </c>
      <c r="X44" s="59">
        <f t="shared" si="0"/>
        <v>58.063789634903237</v>
      </c>
      <c r="Y44" s="56">
        <v>2.2294761088788442</v>
      </c>
      <c r="Z44" s="55">
        <f t="shared" si="1"/>
        <v>1.3845740740376804</v>
      </c>
      <c r="AA44" s="60"/>
    </row>
    <row r="45" spans="1:27" x14ac:dyDescent="0.25">
      <c r="A45" s="53" t="s">
        <v>183</v>
      </c>
      <c r="B45" s="50" t="s">
        <v>43</v>
      </c>
      <c r="C45" s="50" t="s">
        <v>160</v>
      </c>
      <c r="D45" s="51">
        <v>51.480083999999998</v>
      </c>
      <c r="E45" s="51">
        <v>0.21889999999999998</v>
      </c>
      <c r="F45" s="51">
        <v>1.1483136</v>
      </c>
      <c r="G45" s="51">
        <v>26.679780324999999</v>
      </c>
      <c r="H45" s="51">
        <v>0.84420000000000006</v>
      </c>
      <c r="I45" s="51">
        <v>17.685298359999997</v>
      </c>
      <c r="J45" s="51">
        <v>1.48667835</v>
      </c>
      <c r="K45" s="51">
        <v>0</v>
      </c>
      <c r="L45" s="51">
        <v>5.7499999999999999E-3</v>
      </c>
      <c r="M45" s="51">
        <v>0</v>
      </c>
      <c r="N45" s="51">
        <v>4.6149999999999997E-2</v>
      </c>
      <c r="O45" s="51">
        <v>0</v>
      </c>
      <c r="P45" s="51">
        <v>4.3200000000000002E-2</v>
      </c>
      <c r="Q45" s="51">
        <v>5.9500000000000004E-3</v>
      </c>
      <c r="R45" s="51">
        <v>3.0500000000000002E-3</v>
      </c>
      <c r="S45" s="51">
        <v>0</v>
      </c>
      <c r="T45" s="51">
        <v>2.0000000000000001E-4</v>
      </c>
      <c r="U45" s="54">
        <v>3.1242478486173213</v>
      </c>
      <c r="V45" s="54">
        <v>51.710205381031876</v>
      </c>
      <c r="W45" s="54">
        <v>45.165546770350801</v>
      </c>
      <c r="X45" s="59">
        <f t="shared" si="0"/>
        <v>54.161951574915243</v>
      </c>
      <c r="Y45" s="56">
        <v>1.784357852146063</v>
      </c>
      <c r="Z45" s="55">
        <f t="shared" si="1"/>
        <v>1.1815937509519987</v>
      </c>
      <c r="AA45" s="60"/>
    </row>
    <row r="46" spans="1:27" x14ac:dyDescent="0.25">
      <c r="A46" s="53" t="s">
        <v>184</v>
      </c>
      <c r="B46" s="50" t="s">
        <v>43</v>
      </c>
      <c r="C46" s="50" t="s">
        <v>160</v>
      </c>
      <c r="D46" s="51">
        <v>51.503678549999997</v>
      </c>
      <c r="E46" s="51">
        <v>0.1862</v>
      </c>
      <c r="F46" s="51">
        <v>1.1126779999999998</v>
      </c>
      <c r="G46" s="51">
        <v>26.478067490000001</v>
      </c>
      <c r="H46" s="51">
        <v>0.80474999999999997</v>
      </c>
      <c r="I46" s="51">
        <v>17.911259329999996</v>
      </c>
      <c r="J46" s="51">
        <v>1.4529966500000002</v>
      </c>
      <c r="K46" s="51">
        <v>0</v>
      </c>
      <c r="L46" s="51">
        <v>1.8849999999999999E-2</v>
      </c>
      <c r="M46" s="51">
        <v>2.2749999999999999E-2</v>
      </c>
      <c r="N46" s="51">
        <v>0</v>
      </c>
      <c r="O46" s="51">
        <v>0</v>
      </c>
      <c r="P46" s="51">
        <v>2.23E-2</v>
      </c>
      <c r="Q46" s="51">
        <v>5.7499999999999999E-3</v>
      </c>
      <c r="R46" s="51">
        <v>1.15E-2</v>
      </c>
      <c r="S46" s="51">
        <v>0</v>
      </c>
      <c r="T46" s="51">
        <v>3.3500000000000001E-3</v>
      </c>
      <c r="U46" s="54">
        <v>3.0475689025414892</v>
      </c>
      <c r="V46" s="54">
        <v>52.269753445065277</v>
      </c>
      <c r="W46" s="54">
        <v>44.682677652393231</v>
      </c>
      <c r="X46" s="59">
        <f t="shared" si="0"/>
        <v>54.665122606770879</v>
      </c>
      <c r="Y46" s="56">
        <v>1.8424261915153006</v>
      </c>
      <c r="Z46" s="55">
        <f t="shared" si="1"/>
        <v>1.2058072228278542</v>
      </c>
      <c r="AA46" s="60"/>
    </row>
    <row r="47" spans="1:27" x14ac:dyDescent="0.25">
      <c r="A47" s="51" t="s">
        <v>185</v>
      </c>
      <c r="B47" s="51" t="s">
        <v>40</v>
      </c>
      <c r="C47" s="51" t="s">
        <v>186</v>
      </c>
      <c r="D47" s="51">
        <v>34.700857382000002</v>
      </c>
      <c r="E47" s="51">
        <v>9.0047500000000006E-3</v>
      </c>
      <c r="F47" s="51">
        <v>2.8907199999999998E-3</v>
      </c>
      <c r="G47" s="51">
        <v>41.432402227174997</v>
      </c>
      <c r="H47" s="51">
        <v>0.61480500000000005</v>
      </c>
      <c r="I47" s="51">
        <v>22.809807155149997</v>
      </c>
      <c r="J47" s="51">
        <v>1.381896375E-2</v>
      </c>
      <c r="K47" s="51">
        <v>0</v>
      </c>
      <c r="L47" s="51">
        <v>1.6021250000000001E-2</v>
      </c>
      <c r="M47" s="51">
        <v>0</v>
      </c>
      <c r="N47" s="51">
        <v>7.5620500000000007E-2</v>
      </c>
      <c r="O47" s="51">
        <v>3.8209541851999998E-2</v>
      </c>
      <c r="P47" s="51">
        <v>1.9300000000000001E-2</v>
      </c>
      <c r="Q47" s="51">
        <v>9.6682499999999998E-3</v>
      </c>
      <c r="R47" s="51">
        <v>2.3147000000000001E-2</v>
      </c>
      <c r="S47" s="50"/>
      <c r="T47" s="50"/>
      <c r="U47" s="50"/>
      <c r="V47" s="50"/>
      <c r="W47" s="50"/>
      <c r="X47" s="59">
        <f t="shared" si="0"/>
        <v>49.529108979069854</v>
      </c>
      <c r="Y47" s="50"/>
      <c r="Z47" s="55">
        <f t="shared" si="1"/>
        <v>0.98134009479900519</v>
      </c>
      <c r="AA47" s="61">
        <f>10^(((LOG((100*Z47/(Z47+1)))-LOG(252.7833-0.7825*(100*Z47/(Z47+1))))/0.4602)+1.795)</f>
        <v>2.5932529402023787</v>
      </c>
    </row>
    <row r="48" spans="1:27" x14ac:dyDescent="0.25">
      <c r="A48" s="51" t="s">
        <v>187</v>
      </c>
      <c r="B48" s="51" t="s">
        <v>40</v>
      </c>
      <c r="C48" s="51" t="s">
        <v>186</v>
      </c>
      <c r="D48" s="51">
        <v>33.894024647249999</v>
      </c>
      <c r="E48" s="51">
        <v>1.7909999999999998E-3</v>
      </c>
      <c r="F48" s="51">
        <v>9.0255256000000006E-3</v>
      </c>
      <c r="G48" s="51">
        <v>45.765891540449999</v>
      </c>
      <c r="H48" s="51">
        <v>0.68199425000000002</v>
      </c>
      <c r="I48" s="51">
        <v>19.193626483999999</v>
      </c>
      <c r="J48" s="51">
        <v>6.1536366250000011E-3</v>
      </c>
      <c r="K48" s="51">
        <v>6.6007304999999997E-3</v>
      </c>
      <c r="L48" s="51">
        <v>1.0099249999999999E-2</v>
      </c>
      <c r="M48" s="51">
        <v>0</v>
      </c>
      <c r="N48" s="51">
        <v>0</v>
      </c>
      <c r="O48" s="51">
        <v>0</v>
      </c>
      <c r="P48" s="51">
        <v>5.2364999999999998E-3</v>
      </c>
      <c r="Q48" s="51">
        <v>2.0907000000000002E-2</v>
      </c>
      <c r="R48" s="51">
        <v>3.1654500000000002E-2</v>
      </c>
      <c r="S48" s="50"/>
      <c r="T48" s="50"/>
      <c r="U48" s="50"/>
      <c r="V48" s="50"/>
      <c r="W48" s="50"/>
      <c r="X48" s="59">
        <f t="shared" si="0"/>
        <v>42.777758353110634</v>
      </c>
      <c r="Y48" s="50"/>
      <c r="Z48" s="55">
        <f t="shared" si="1"/>
        <v>0.74757222230275988</v>
      </c>
      <c r="AA48" s="61">
        <f t="shared" ref="AA48:AA55" si="2">10^(((LOG((100*Z48/(Z48+1)))-LOG(252.7833-0.7825*(100*Z48/(Z48+1))))/0.4602)+1.795)</f>
        <v>1.7887126480387854</v>
      </c>
    </row>
    <row r="49" spans="1:27" x14ac:dyDescent="0.25">
      <c r="A49" s="51" t="s">
        <v>188</v>
      </c>
      <c r="B49" s="51" t="s">
        <v>40</v>
      </c>
      <c r="C49" s="51" t="s">
        <v>186</v>
      </c>
      <c r="D49" s="51">
        <v>34.13878317575</v>
      </c>
      <c r="E49" s="51">
        <v>0</v>
      </c>
      <c r="F49" s="51">
        <v>1.63153732E-2</v>
      </c>
      <c r="G49" s="51">
        <v>45.278412901925002</v>
      </c>
      <c r="H49" s="51">
        <v>0.71923575000000006</v>
      </c>
      <c r="I49" s="51">
        <v>19.469902543749999</v>
      </c>
      <c r="J49" s="51">
        <v>1.1104996000000001E-2</v>
      </c>
      <c r="K49" s="51">
        <v>1.1245688999999999E-3</v>
      </c>
      <c r="L49" s="51">
        <v>6.4674999999999993E-3</v>
      </c>
      <c r="M49" s="51">
        <v>2.1492000000000001E-2</v>
      </c>
      <c r="N49" s="51">
        <v>0</v>
      </c>
      <c r="O49" s="51">
        <v>2.1606365996499996E-2</v>
      </c>
      <c r="P49" s="51">
        <v>4.7511250000000005E-2</v>
      </c>
      <c r="Q49" s="51">
        <v>1.9601500000000001E-2</v>
      </c>
      <c r="R49" s="51">
        <v>2.5521750000000003E-2</v>
      </c>
      <c r="S49" s="50"/>
      <c r="T49" s="50"/>
      <c r="U49" s="50"/>
      <c r="V49" s="50"/>
      <c r="W49" s="50"/>
      <c r="X49" s="59">
        <f t="shared" si="0"/>
        <v>43.390799216064558</v>
      </c>
      <c r="Y49" s="50"/>
      <c r="Z49" s="55">
        <f t="shared" si="1"/>
        <v>0.76649729399426525</v>
      </c>
      <c r="AA49" s="61">
        <f t="shared" si="2"/>
        <v>1.8536817752642611</v>
      </c>
    </row>
    <row r="50" spans="1:27" x14ac:dyDescent="0.25">
      <c r="A50" s="51" t="s">
        <v>189</v>
      </c>
      <c r="B50" s="51" t="s">
        <v>40</v>
      </c>
      <c r="C50" s="51" t="s">
        <v>186</v>
      </c>
      <c r="D50" s="51">
        <v>34.047228750000002</v>
      </c>
      <c r="E50" s="51">
        <v>1.985E-2</v>
      </c>
      <c r="F50" s="51">
        <v>0</v>
      </c>
      <c r="G50" s="51">
        <v>44.925408144999992</v>
      </c>
      <c r="H50" s="51">
        <v>0.66144999999999998</v>
      </c>
      <c r="I50" s="51">
        <v>19.74797143</v>
      </c>
      <c r="J50" s="51">
        <v>1.5395925000000003E-2</v>
      </c>
      <c r="K50" s="51">
        <v>1.582308E-2</v>
      </c>
      <c r="L50" s="51">
        <v>0</v>
      </c>
      <c r="M50" s="51">
        <v>0</v>
      </c>
      <c r="N50" s="51">
        <v>2.775E-2</v>
      </c>
      <c r="O50" s="51">
        <v>3.8105256249999997E-2</v>
      </c>
      <c r="P50" s="51">
        <v>1.055E-2</v>
      </c>
      <c r="Q50" s="51">
        <v>2.18E-2</v>
      </c>
      <c r="R50" s="51">
        <v>3.9649999999999998E-2</v>
      </c>
      <c r="S50" s="50"/>
      <c r="T50" s="50"/>
      <c r="U50" s="50"/>
      <c r="V50" s="50"/>
      <c r="W50" s="50"/>
      <c r="X50" s="59">
        <f t="shared" si="0"/>
        <v>43.932147039041261</v>
      </c>
      <c r="Y50" s="50"/>
      <c r="Z50" s="55">
        <f t="shared" si="1"/>
        <v>0.78355322558244156</v>
      </c>
      <c r="AA50" s="61">
        <f t="shared" si="2"/>
        <v>1.9123382288053101</v>
      </c>
    </row>
    <row r="51" spans="1:27" x14ac:dyDescent="0.25">
      <c r="A51" s="51" t="s">
        <v>190</v>
      </c>
      <c r="B51" s="51" t="s">
        <v>40</v>
      </c>
      <c r="C51" s="51" t="s">
        <v>186</v>
      </c>
      <c r="D51" s="51">
        <v>34.60216475</v>
      </c>
      <c r="E51" s="51">
        <v>2.98E-2</v>
      </c>
      <c r="F51" s="51">
        <v>0</v>
      </c>
      <c r="G51" s="51">
        <v>43.363831805000004</v>
      </c>
      <c r="H51" s="51">
        <v>0.64074999999999993</v>
      </c>
      <c r="I51" s="51">
        <v>20.984448209999996</v>
      </c>
      <c r="J51" s="51">
        <v>1.7189625E-2</v>
      </c>
      <c r="K51" s="51">
        <v>4.4225999999999998E-4</v>
      </c>
      <c r="L51" s="51">
        <v>1.3250000000000001E-2</v>
      </c>
      <c r="M51" s="51">
        <v>1.8500000000000001E-3</v>
      </c>
      <c r="N51" s="51">
        <v>7.1499999999999994E-2</v>
      </c>
      <c r="O51" s="51">
        <v>0</v>
      </c>
      <c r="P51" s="51">
        <v>2E-3</v>
      </c>
      <c r="Q51" s="51">
        <v>1.3350000000000001E-2</v>
      </c>
      <c r="R51" s="51">
        <v>1.235E-2</v>
      </c>
      <c r="S51" s="50"/>
      <c r="T51" s="50"/>
      <c r="U51" s="50"/>
      <c r="V51" s="50"/>
      <c r="W51" s="50"/>
      <c r="X51" s="59">
        <f t="shared" si="0"/>
        <v>46.311521132555654</v>
      </c>
      <c r="Y51" s="50"/>
      <c r="Z51" s="55">
        <f t="shared" si="1"/>
        <v>0.86259700608947709</v>
      </c>
      <c r="AA51" s="61">
        <f t="shared" si="2"/>
        <v>2.1848389197577576</v>
      </c>
    </row>
    <row r="52" spans="1:27" x14ac:dyDescent="0.25">
      <c r="A52" s="51" t="s">
        <v>191</v>
      </c>
      <c r="B52" s="51" t="s">
        <v>40</v>
      </c>
      <c r="C52" s="51" t="s">
        <v>186</v>
      </c>
      <c r="D52" s="51">
        <v>34.176274166666666</v>
      </c>
      <c r="E52" s="51">
        <v>3.8433333333333333E-2</v>
      </c>
      <c r="F52" s="51">
        <v>1.34568E-2</v>
      </c>
      <c r="G52" s="51">
        <v>42.802467349999993</v>
      </c>
      <c r="H52" s="51">
        <v>0.67303333333333326</v>
      </c>
      <c r="I52" s="51">
        <v>21.726929393333332</v>
      </c>
      <c r="J52" s="51">
        <v>7.2412333333333329E-3</v>
      </c>
      <c r="K52" s="51">
        <v>6.8468399999999999E-3</v>
      </c>
      <c r="L52" s="51">
        <v>1.3333333333333333E-3</v>
      </c>
      <c r="M52" s="51">
        <v>0</v>
      </c>
      <c r="N52" s="51">
        <v>4.4966666666666676E-2</v>
      </c>
      <c r="O52" s="51">
        <v>1.4539417016666669E-2</v>
      </c>
      <c r="P52" s="51">
        <v>1.7633333333333334E-2</v>
      </c>
      <c r="Q52" s="51">
        <v>1.2166666666666668E-2</v>
      </c>
      <c r="R52" s="51">
        <v>2.7066666666666666E-2</v>
      </c>
      <c r="S52" s="50"/>
      <c r="T52" s="50"/>
      <c r="U52" s="50"/>
      <c r="V52" s="50"/>
      <c r="W52" s="50"/>
      <c r="X52" s="59">
        <f t="shared" si="0"/>
        <v>47.501911310696322</v>
      </c>
      <c r="Y52" s="50"/>
      <c r="Z52" s="55">
        <f t="shared" si="1"/>
        <v>0.90483125189231284</v>
      </c>
      <c r="AA52" s="61">
        <f t="shared" si="2"/>
        <v>2.3304411549141486</v>
      </c>
    </row>
    <row r="53" spans="1:27" x14ac:dyDescent="0.25">
      <c r="A53" s="51" t="s">
        <v>192</v>
      </c>
      <c r="B53" s="51" t="s">
        <v>40</v>
      </c>
      <c r="C53" s="51" t="s">
        <v>186</v>
      </c>
      <c r="D53" s="51">
        <v>33.808156850000003</v>
      </c>
      <c r="E53" s="51">
        <v>0</v>
      </c>
      <c r="F53" s="51">
        <v>2.4421600000000001E-3</v>
      </c>
      <c r="G53" s="51">
        <v>45.853971469999998</v>
      </c>
      <c r="H53" s="51">
        <v>0.74950000000000006</v>
      </c>
      <c r="I53" s="51">
        <v>18.805478299999997</v>
      </c>
      <c r="J53" s="51">
        <v>1.51468E-2</v>
      </c>
      <c r="K53" s="51">
        <v>0</v>
      </c>
      <c r="L53" s="51">
        <v>1.255E-2</v>
      </c>
      <c r="M53" s="51">
        <v>6.1500000000000001E-3</v>
      </c>
      <c r="N53" s="51">
        <v>7.8750000000000001E-2</v>
      </c>
      <c r="O53" s="51">
        <v>2.43590401E-2</v>
      </c>
      <c r="P53" s="51">
        <v>1.8450000000000001E-2</v>
      </c>
      <c r="Q53" s="51">
        <v>1.6500000000000001E-2</v>
      </c>
      <c r="R53" s="51">
        <v>3.3250000000000002E-2</v>
      </c>
      <c r="S53" s="50"/>
      <c r="T53" s="50"/>
      <c r="U53" s="50"/>
      <c r="V53" s="50"/>
      <c r="W53" s="50"/>
      <c r="X53" s="59">
        <f t="shared" si="0"/>
        <v>42.231503087307416</v>
      </c>
      <c r="Y53" s="50"/>
      <c r="Z53" s="55">
        <f t="shared" si="1"/>
        <v>0.73104728951375142</v>
      </c>
      <c r="AA53" s="61">
        <f t="shared" si="2"/>
        <v>1.7321067327622053</v>
      </c>
    </row>
    <row r="54" spans="1:27" x14ac:dyDescent="0.25">
      <c r="A54" s="51" t="s">
        <v>193</v>
      </c>
      <c r="B54" s="51" t="s">
        <v>40</v>
      </c>
      <c r="C54" s="51" t="s">
        <v>186</v>
      </c>
      <c r="D54" s="51">
        <v>34.219034199999996</v>
      </c>
      <c r="E54" s="51">
        <v>1.3500000000000002E-2</v>
      </c>
      <c r="F54" s="51">
        <v>0</v>
      </c>
      <c r="G54" s="51">
        <v>43.809974910000001</v>
      </c>
      <c r="H54" s="51">
        <v>0.68559999999999999</v>
      </c>
      <c r="I54" s="51">
        <v>20.94948934</v>
      </c>
      <c r="J54" s="51">
        <v>9.2176250000000001E-3</v>
      </c>
      <c r="K54" s="51">
        <v>0</v>
      </c>
      <c r="L54" s="51">
        <v>1.585E-2</v>
      </c>
      <c r="M54" s="51">
        <v>0</v>
      </c>
      <c r="N54" s="51">
        <v>1.1900000000000001E-2</v>
      </c>
      <c r="O54" s="51">
        <v>0</v>
      </c>
      <c r="P54" s="51">
        <v>0</v>
      </c>
      <c r="Q54" s="51">
        <v>6.6E-3</v>
      </c>
      <c r="R54" s="51">
        <v>3.3750000000000002E-2</v>
      </c>
      <c r="S54" s="50"/>
      <c r="T54" s="50"/>
      <c r="U54" s="50"/>
      <c r="V54" s="50"/>
      <c r="W54" s="50"/>
      <c r="X54" s="59">
        <f t="shared" si="0"/>
        <v>46.015695536227931</v>
      </c>
      <c r="Y54" s="50"/>
      <c r="Z54" s="55">
        <f t="shared" si="1"/>
        <v>0.85239026404625207</v>
      </c>
      <c r="AA54" s="61">
        <f t="shared" si="2"/>
        <v>2.1496297268348719</v>
      </c>
    </row>
    <row r="55" spans="1:27" ht="15.75" thickBot="1" x14ac:dyDescent="0.3">
      <c r="A55" s="51" t="s">
        <v>194</v>
      </c>
      <c r="B55" s="51" t="s">
        <v>40</v>
      </c>
      <c r="C55" s="51" t="s">
        <v>186</v>
      </c>
      <c r="D55" s="51">
        <v>33.707639833333332</v>
      </c>
      <c r="E55" s="51">
        <v>1.2033333333333333E-2</v>
      </c>
      <c r="F55" s="51">
        <v>2.7578133333333332E-3</v>
      </c>
      <c r="G55" s="51">
        <v>43.498659233333335</v>
      </c>
      <c r="H55" s="51">
        <v>0.72086666666666666</v>
      </c>
      <c r="I55" s="51">
        <v>21.144048833333333</v>
      </c>
      <c r="J55" s="51">
        <v>1.6409033333333333E-2</v>
      </c>
      <c r="K55" s="51">
        <v>2.8501199999999998E-3</v>
      </c>
      <c r="L55" s="51">
        <v>7.4333333333333335E-3</v>
      </c>
      <c r="M55" s="51">
        <v>5.3666666666666663E-3</v>
      </c>
      <c r="N55" s="51">
        <v>6.3466666666666671E-2</v>
      </c>
      <c r="O55" s="51">
        <v>0</v>
      </c>
      <c r="P55" s="57">
        <v>6.1666666666666667E-3</v>
      </c>
      <c r="Q55" s="51">
        <v>1.0700000000000001E-2</v>
      </c>
      <c r="R55" s="51">
        <v>4.3566666666666663E-2</v>
      </c>
      <c r="S55" s="50"/>
      <c r="T55" s="50"/>
      <c r="U55" s="50"/>
      <c r="V55" s="50"/>
      <c r="W55" s="50"/>
      <c r="X55" s="62">
        <f t="shared" si="0"/>
        <v>46.422743183545059</v>
      </c>
      <c r="Y55" s="63"/>
      <c r="Z55" s="64">
        <f t="shared" si="1"/>
        <v>0.86646360679831291</v>
      </c>
      <c r="AA55" s="65">
        <f t="shared" si="2"/>
        <v>2.1981761081804425</v>
      </c>
    </row>
  </sheetData>
  <autoFilter ref="A1:AA55" xr:uid="{7523CD5C-985C-49C6-BB86-56F067F288DB}"/>
  <conditionalFormatting sqref="O40">
    <cfRule type="cellIs" dxfId="1" priority="2" operator="lessThan">
      <formula>0</formula>
    </cfRule>
  </conditionalFormatting>
  <conditionalFormatting sqref="O44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7E540-436A-43AD-A898-3FC92A50287C}">
  <dimension ref="B1:I29"/>
  <sheetViews>
    <sheetView zoomScale="115" zoomScaleNormal="115" workbookViewId="0">
      <selection activeCell="E31" sqref="E31"/>
    </sheetView>
  </sheetViews>
  <sheetFormatPr defaultColWidth="9.140625" defaultRowHeight="15" x14ac:dyDescent="0.25"/>
  <cols>
    <col min="1" max="1" width="9.140625" style="20"/>
    <col min="2" max="2" width="20.140625" style="20" customWidth="1"/>
    <col min="3" max="3" width="9.140625" style="20"/>
    <col min="4" max="4" width="10" style="20" bestFit="1" customWidth="1"/>
    <col min="5" max="5" width="11.28515625" style="20" bestFit="1" customWidth="1"/>
    <col min="6" max="6" width="11.7109375" style="20" bestFit="1" customWidth="1"/>
    <col min="7" max="7" width="10.28515625" style="20" bestFit="1" customWidth="1"/>
    <col min="8" max="16384" width="9.140625" style="20"/>
  </cols>
  <sheetData>
    <row r="1" spans="2:9" x14ac:dyDescent="0.25">
      <c r="I1" s="45" t="s">
        <v>117</v>
      </c>
    </row>
    <row r="2" spans="2:9" x14ac:dyDescent="0.25">
      <c r="B2" s="20" t="s">
        <v>105</v>
      </c>
    </row>
    <row r="3" spans="2:9" ht="15.75" thickBot="1" x14ac:dyDescent="0.3"/>
    <row r="4" spans="2:9" ht="18" x14ac:dyDescent="0.35">
      <c r="B4" s="21" t="s">
        <v>104</v>
      </c>
      <c r="C4" s="22"/>
      <c r="D4" s="48" t="s">
        <v>113</v>
      </c>
    </row>
    <row r="5" spans="2:9" x14ac:dyDescent="0.25">
      <c r="B5" s="23" t="s">
        <v>96</v>
      </c>
      <c r="D5" s="49">
        <v>1</v>
      </c>
      <c r="E5" s="47"/>
    </row>
    <row r="6" spans="2:9" x14ac:dyDescent="0.25">
      <c r="B6" s="25" t="s">
        <v>95</v>
      </c>
      <c r="C6" s="20">
        <f>9.1875</f>
        <v>9.1875</v>
      </c>
      <c r="D6" s="24" t="s">
        <v>94</v>
      </c>
    </row>
    <row r="7" spans="2:9" x14ac:dyDescent="0.25">
      <c r="B7" s="25" t="s">
        <v>59</v>
      </c>
      <c r="C7" s="20">
        <v>8.0777999999999999</v>
      </c>
      <c r="D7" s="26">
        <f>100*(C6/(C6+D5))</f>
        <v>90.184049079754601</v>
      </c>
    </row>
    <row r="8" spans="2:9" x14ac:dyDescent="0.25">
      <c r="B8" s="23" t="s">
        <v>93</v>
      </c>
      <c r="D8" s="46"/>
    </row>
    <row r="9" spans="2:9" x14ac:dyDescent="0.25">
      <c r="B9" s="25" t="s">
        <v>95</v>
      </c>
      <c r="C9" s="20">
        <v>6.5525000000000002</v>
      </c>
      <c r="D9" s="24" t="s">
        <v>94</v>
      </c>
    </row>
    <row r="10" spans="2:9" ht="15.75" thickBot="1" x14ac:dyDescent="0.3">
      <c r="B10" s="27" t="s">
        <v>59</v>
      </c>
      <c r="C10" s="28">
        <v>83.637</v>
      </c>
      <c r="D10" s="29">
        <f>100*(C9/(C9+D5))</f>
        <v>86.759351208209196</v>
      </c>
    </row>
    <row r="23" spans="2:9" x14ac:dyDescent="0.25">
      <c r="B23" s="30" t="s">
        <v>112</v>
      </c>
      <c r="C23" s="31"/>
      <c r="D23" s="31"/>
      <c r="E23" s="31"/>
      <c r="F23" s="31"/>
      <c r="G23" s="32"/>
      <c r="I23" s="44" t="s">
        <v>116</v>
      </c>
    </row>
    <row r="24" spans="2:9" ht="33" x14ac:dyDescent="0.35">
      <c r="B24" s="33"/>
      <c r="C24" s="20" t="s">
        <v>97</v>
      </c>
      <c r="D24" s="20" t="s">
        <v>114</v>
      </c>
      <c r="E24" s="34" t="s">
        <v>111</v>
      </c>
      <c r="F24" s="34" t="s">
        <v>115</v>
      </c>
      <c r="G24" s="35" t="s">
        <v>110</v>
      </c>
    </row>
    <row r="25" spans="2:9" x14ac:dyDescent="0.25">
      <c r="B25" s="36" t="s">
        <v>98</v>
      </c>
      <c r="C25" s="37">
        <v>84.63</v>
      </c>
      <c r="D25" s="37">
        <v>0.64500000000000002</v>
      </c>
      <c r="E25" s="37">
        <v>11.17</v>
      </c>
      <c r="F25" s="38">
        <f>10^(((LOG(C25)-LOG(252.7833-0.7825*C25))/0.4602)+1.795)</f>
        <v>11.195177080775727</v>
      </c>
      <c r="G25" s="39">
        <f>((E25/40.3044)/($D25)-(E25/40.3044))*$D$5*71.844</f>
        <v>10.958720624420256</v>
      </c>
    </row>
    <row r="26" spans="2:9" x14ac:dyDescent="0.25">
      <c r="B26" s="36" t="s">
        <v>99</v>
      </c>
      <c r="C26" s="37">
        <v>82.11</v>
      </c>
      <c r="D26" s="37">
        <v>0.60199999999999998</v>
      </c>
      <c r="E26" s="37">
        <v>10.25</v>
      </c>
      <c r="F26" s="38">
        <f>10^(((LOG(C26)-LOG(252.7833-0.7825*C26))/0.4602)+1.795)</f>
        <v>10.246632970658913</v>
      </c>
      <c r="G26" s="39">
        <f>((E26/40.3044)/($D26)-(E26/40.3044))*$D$5*71.844</f>
        <v>12.079486981149863</v>
      </c>
    </row>
    <row r="27" spans="2:9" x14ac:dyDescent="0.25">
      <c r="B27" s="36" t="s">
        <v>100</v>
      </c>
      <c r="C27" s="37">
        <v>80.319999999999993</v>
      </c>
      <c r="D27" s="37">
        <v>0.57399999999999995</v>
      </c>
      <c r="E27" s="37">
        <v>9.61</v>
      </c>
      <c r="F27" s="38">
        <f>10^(((LOG(C27)-LOG(252.7833-0.7825*C27))/0.4602)+1.795)</f>
        <v>9.6115963692328474</v>
      </c>
      <c r="G27" s="39">
        <f>((E27/40.3044)/($D27)-(E27/40.3044))*$D$5*71.844</f>
        <v>12.713324675871668</v>
      </c>
    </row>
    <row r="28" spans="2:9" x14ac:dyDescent="0.25">
      <c r="B28" s="36" t="s">
        <v>101</v>
      </c>
      <c r="C28" s="37">
        <v>81.7</v>
      </c>
      <c r="D28" s="37">
        <v>0.59599999999999997</v>
      </c>
      <c r="E28" s="37">
        <v>10.1</v>
      </c>
      <c r="F28" s="38">
        <f>10^(((LOG(C28)-LOG(252.7833-0.7825*C28))/0.4602)+1.795)</f>
        <v>10.098401063787836</v>
      </c>
      <c r="G28" s="39">
        <f>((E28/40.3044)/($D28)-(E28/40.3044))*$D$5*71.844</f>
        <v>12.203784302131913</v>
      </c>
    </row>
    <row r="29" spans="2:9" x14ac:dyDescent="0.25">
      <c r="B29" s="40" t="s">
        <v>102</v>
      </c>
      <c r="C29" s="41">
        <v>80.27</v>
      </c>
      <c r="D29" s="41">
        <v>0.57299999999999995</v>
      </c>
      <c r="E29" s="41">
        <v>9.59</v>
      </c>
      <c r="F29" s="42">
        <f>10^(((LOG(C29)-LOG(252.7833-0.7825*C29))/0.4602)+1.795)</f>
        <v>9.5943044611379857</v>
      </c>
      <c r="G29" s="43">
        <f>((E29/40.3044)/($D29)-(E29/40.3044))*$D$5*71.844</f>
        <v>12.738840621820824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Parental magma calculations</vt:lpstr>
      <vt:lpstr>Palojärvi whole-rock samples</vt:lpstr>
      <vt:lpstr>Matokulma whole-rock samples</vt:lpstr>
      <vt:lpstr>Matok. dikes whole-rock samples</vt:lpstr>
      <vt:lpstr>Mineral chemistry</vt:lpstr>
      <vt:lpstr>Quality control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2025-02-17T11:04:44Z</dcterms:created>
  <dcterms:modified xsi:type="dcterms:W3CDTF">2025-05-25T20:13:07Z</dcterms:modified>
</cp:coreProperties>
</file>